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dro\Downloads\GOINFRA CATALÃO\Proposta Rev03\"/>
    </mc:Choice>
  </mc:AlternateContent>
  <xr:revisionPtr revIDLastSave="0" documentId="13_ncr:1_{EB5548FE-FE4A-4A50-B8EA-A865855C3E4D}" xr6:coauthVersionLast="47" xr6:coauthVersionMax="47" xr10:uidLastSave="{00000000-0000-0000-0000-000000000000}"/>
  <bookViews>
    <workbookView xWindow="-120" yWindow="-120" windowWidth="29040" windowHeight="15720" activeTab="1" xr2:uid="{065D4826-6134-4546-92C7-F408346F69C4}"/>
  </bookViews>
  <sheets>
    <sheet name="ORÇAMENTO" sheetId="1" r:id="rId1"/>
    <sheet name="CRONOGRAMA" sheetId="3" r:id="rId2"/>
    <sheet name="MOB - DESMOB" sheetId="5" r:id="rId3"/>
    <sheet name="ADM LOCAL" sheetId="7" r:id="rId4"/>
    <sheet name="CANTEIRO DE OBRA" sheetId="8" r:id="rId5"/>
    <sheet name="BDI" sheetId="9" r:id="rId6"/>
  </sheets>
  <definedNames>
    <definedName name="_xlnm.Print_Area" localSheetId="0">ORÇAMENTO!$A$1:$G$379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3" l="1"/>
  <c r="I54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21" i="5"/>
  <c r="E19" i="5"/>
  <c r="D60" i="8" l="1"/>
  <c r="F331" i="1" l="1"/>
  <c r="F49" i="7"/>
  <c r="D48" i="7"/>
  <c r="E43" i="7"/>
  <c r="E44" i="7"/>
  <c r="E45" i="7"/>
  <c r="E46" i="7"/>
  <c r="E36" i="7"/>
  <c r="E37" i="7"/>
  <c r="E38" i="7"/>
  <c r="E39" i="7"/>
  <c r="E40" i="7"/>
  <c r="E42" i="7"/>
  <c r="E35" i="7"/>
  <c r="E33" i="7"/>
  <c r="E31" i="7"/>
  <c r="E30" i="7"/>
  <c r="E25" i="7"/>
  <c r="E26" i="7"/>
  <c r="E27" i="7"/>
  <c r="E28" i="7"/>
  <c r="E24" i="7"/>
  <c r="E22" i="7"/>
  <c r="E21" i="7"/>
  <c r="E18" i="7"/>
  <c r="E19" i="7"/>
  <c r="E17" i="7"/>
  <c r="E6" i="7"/>
  <c r="E7" i="7"/>
  <c r="E8" i="7"/>
  <c r="E9" i="7"/>
  <c r="E10" i="7"/>
  <c r="E11" i="7"/>
  <c r="E12" i="7"/>
  <c r="E13" i="7"/>
  <c r="E14" i="7"/>
  <c r="E15" i="7"/>
  <c r="E5" i="7"/>
  <c r="I51" i="5" l="1"/>
  <c r="I9" i="5"/>
  <c r="I10" i="5"/>
  <c r="I11" i="5"/>
  <c r="I12" i="5"/>
  <c r="G22" i="5"/>
  <c r="I22" i="5" s="1"/>
  <c r="G23" i="5"/>
  <c r="G24" i="5"/>
  <c r="I24" i="5" s="1"/>
  <c r="G25" i="5"/>
  <c r="I25" i="5" s="1"/>
  <c r="G26" i="5"/>
  <c r="G27" i="5"/>
  <c r="I27" i="5" s="1"/>
  <c r="G28" i="5"/>
  <c r="I28" i="5" s="1"/>
  <c r="G29" i="5"/>
  <c r="I29" i="5" s="1"/>
  <c r="G30" i="5"/>
  <c r="G31" i="5"/>
  <c r="I31" i="5" s="1"/>
  <c r="G32" i="5"/>
  <c r="I32" i="5" s="1"/>
  <c r="G33" i="5"/>
  <c r="I33" i="5" s="1"/>
  <c r="G34" i="5"/>
  <c r="I34" i="5" s="1"/>
  <c r="G35" i="5"/>
  <c r="I35" i="5" s="1"/>
  <c r="G36" i="5"/>
  <c r="I36" i="5" s="1"/>
  <c r="G37" i="5"/>
  <c r="I37" i="5" s="1"/>
  <c r="G38" i="5"/>
  <c r="I38" i="5" s="1"/>
  <c r="G39" i="5"/>
  <c r="G40" i="5"/>
  <c r="I40" i="5" s="1"/>
  <c r="G41" i="5"/>
  <c r="G42" i="5"/>
  <c r="G43" i="5"/>
  <c r="I43" i="5" s="1"/>
  <c r="G44" i="5"/>
  <c r="I44" i="5" s="1"/>
  <c r="G45" i="5"/>
  <c r="I45" i="5" s="1"/>
  <c r="G46" i="5"/>
  <c r="G47" i="5"/>
  <c r="I47" i="5" s="1"/>
  <c r="G21" i="5"/>
  <c r="G6" i="5"/>
  <c r="I6" i="5" s="1"/>
  <c r="G7" i="5"/>
  <c r="G8" i="5"/>
  <c r="I8" i="5" s="1"/>
  <c r="G9" i="5"/>
  <c r="G10" i="5"/>
  <c r="G11" i="5"/>
  <c r="G12" i="5"/>
  <c r="G13" i="5"/>
  <c r="G14" i="5"/>
  <c r="I14" i="5" s="1"/>
  <c r="G15" i="5"/>
  <c r="I15" i="5" s="1"/>
  <c r="G16" i="5"/>
  <c r="G17" i="5"/>
  <c r="I17" i="5" s="1"/>
  <c r="G18" i="5"/>
  <c r="G19" i="5"/>
  <c r="I19" i="5" s="1"/>
  <c r="G5" i="5"/>
  <c r="G324" i="1" l="1"/>
  <c r="G317" i="1"/>
  <c r="G318" i="1"/>
  <c r="G319" i="1"/>
  <c r="G320" i="1"/>
  <c r="G312" i="1"/>
  <c r="G313" i="1"/>
  <c r="G307" i="1"/>
  <c r="G308" i="1"/>
  <c r="G300" i="1"/>
  <c r="G301" i="1"/>
  <c r="G302" i="1"/>
  <c r="G303" i="1"/>
  <c r="G289" i="1"/>
  <c r="G290" i="1"/>
  <c r="G291" i="1"/>
  <c r="G292" i="1"/>
  <c r="G293" i="1"/>
  <c r="G294" i="1"/>
  <c r="G295" i="1"/>
  <c r="G296" i="1"/>
  <c r="G281" i="1"/>
  <c r="G282" i="1"/>
  <c r="G283" i="1"/>
  <c r="G284" i="1"/>
  <c r="G285" i="1"/>
  <c r="G275" i="1"/>
  <c r="G276" i="1"/>
  <c r="G277" i="1"/>
  <c r="G270" i="1"/>
  <c r="G271" i="1"/>
  <c r="G266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192" i="1"/>
  <c r="G193" i="1"/>
  <c r="G331" i="1"/>
  <c r="G323" i="1"/>
  <c r="G316" i="1"/>
  <c r="G311" i="1"/>
  <c r="G306" i="1"/>
  <c r="G299" i="1"/>
  <c r="G288" i="1"/>
  <c r="G280" i="1"/>
  <c r="G274" i="1"/>
  <c r="G269" i="1"/>
  <c r="G265" i="1"/>
  <c r="G242" i="1"/>
  <c r="G203" i="1"/>
  <c r="G196" i="1"/>
  <c r="G191" i="1"/>
  <c r="G185" i="1"/>
  <c r="G186" i="1"/>
  <c r="G184" i="1"/>
  <c r="G169" i="1"/>
  <c r="G170" i="1"/>
  <c r="G171" i="1"/>
  <c r="G172" i="1"/>
  <c r="G173" i="1"/>
  <c r="G174" i="1"/>
  <c r="G175" i="1"/>
  <c r="G168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17" i="1"/>
  <c r="G105" i="1"/>
  <c r="G106" i="1"/>
  <c r="G107" i="1"/>
  <c r="G108" i="1"/>
  <c r="G109" i="1"/>
  <c r="G110" i="1"/>
  <c r="G104" i="1"/>
  <c r="G100" i="1"/>
  <c r="G101" i="1"/>
  <c r="G99" i="1"/>
  <c r="G90" i="1"/>
  <c r="G91" i="1"/>
  <c r="G92" i="1"/>
  <c r="G93" i="1"/>
  <c r="G94" i="1"/>
  <c r="G95" i="1"/>
  <c r="G96" i="1"/>
  <c r="G89" i="1"/>
  <c r="G74" i="1"/>
  <c r="G75" i="1"/>
  <c r="G76" i="1"/>
  <c r="G77" i="1"/>
  <c r="G78" i="1"/>
  <c r="G79" i="1"/>
  <c r="G80" i="1"/>
  <c r="G73" i="1"/>
  <c r="G68" i="1"/>
  <c r="G69" i="1"/>
  <c r="G70" i="1"/>
  <c r="G67" i="1"/>
  <c r="G56" i="1"/>
  <c r="G57" i="1"/>
  <c r="G58" i="1"/>
  <c r="G59" i="1"/>
  <c r="G60" i="1"/>
  <c r="G61" i="1"/>
  <c r="G62" i="1"/>
  <c r="G63" i="1"/>
  <c r="G64" i="1"/>
  <c r="G55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28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5" i="1"/>
  <c r="E55" i="8" l="1"/>
  <c r="E56" i="8"/>
  <c r="E57" i="8"/>
  <c r="E58" i="8"/>
  <c r="E48" i="8"/>
  <c r="E49" i="8"/>
  <c r="E50" i="8"/>
  <c r="E51" i="8"/>
  <c r="E52" i="8"/>
  <c r="E44" i="8"/>
  <c r="E45" i="8"/>
  <c r="E54" i="8"/>
  <c r="E47" i="8"/>
  <c r="E43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9" i="8"/>
  <c r="E7" i="8"/>
  <c r="E6" i="8"/>
  <c r="E5" i="8"/>
  <c r="D47" i="7"/>
  <c r="I52" i="5"/>
  <c r="I48" i="5"/>
  <c r="D49" i="7" l="1"/>
  <c r="I53" i="5"/>
  <c r="D59" i="8"/>
  <c r="B23" i="3"/>
  <c r="B21" i="3"/>
  <c r="B19" i="3"/>
  <c r="B17" i="3"/>
  <c r="B15" i="3"/>
  <c r="B13" i="3"/>
  <c r="B11" i="3"/>
  <c r="B9" i="3"/>
  <c r="B7" i="3"/>
  <c r="B5" i="3"/>
  <c r="G48" i="1"/>
  <c r="J48" i="1" s="1"/>
  <c r="B4" i="3" s="1"/>
  <c r="I55" i="5" l="1"/>
  <c r="J4" i="3"/>
  <c r="K4" i="3"/>
  <c r="L4" i="3"/>
  <c r="M4" i="3"/>
  <c r="N4" i="3"/>
  <c r="O4" i="3"/>
  <c r="D4" i="3"/>
  <c r="E4" i="3"/>
  <c r="F4" i="3"/>
  <c r="I4" i="3"/>
  <c r="G4" i="3"/>
  <c r="H4" i="3"/>
  <c r="D61" i="8"/>
  <c r="G333" i="1"/>
  <c r="G326" i="1"/>
  <c r="G258" i="1"/>
  <c r="G235" i="1"/>
  <c r="G198" i="1"/>
  <c r="J198" i="1" s="1"/>
  <c r="B12" i="3" s="1"/>
  <c r="G177" i="1"/>
  <c r="G163" i="1"/>
  <c r="G112" i="1"/>
  <c r="G82" i="1"/>
  <c r="F355" i="1"/>
  <c r="I56" i="5" l="1"/>
  <c r="F345" i="1" s="1"/>
  <c r="G345" i="1" s="1"/>
  <c r="G347" i="1" s="1"/>
  <c r="G61" i="8"/>
  <c r="F61" i="8"/>
  <c r="F338" i="1" s="1"/>
  <c r="G338" i="1" s="1"/>
  <c r="F365" i="1"/>
  <c r="G365" i="1" s="1"/>
  <c r="F369" i="1"/>
  <c r="G369" i="1" s="1"/>
  <c r="J258" i="1"/>
  <c r="F371" i="1"/>
  <c r="G371" i="1" s="1"/>
  <c r="J326" i="1"/>
  <c r="F357" i="1"/>
  <c r="J82" i="1"/>
  <c r="F359" i="1"/>
  <c r="G359" i="1" s="1"/>
  <c r="J112" i="1"/>
  <c r="F361" i="1"/>
  <c r="G361" i="1" s="1"/>
  <c r="J163" i="1"/>
  <c r="B8" i="3" s="1"/>
  <c r="F363" i="1"/>
  <c r="G363" i="1" s="1"/>
  <c r="J177" i="1"/>
  <c r="B10" i="3" s="1"/>
  <c r="S12" i="3"/>
  <c r="T12" i="3"/>
  <c r="P12" i="3"/>
  <c r="R12" i="3"/>
  <c r="Q12" i="3"/>
  <c r="F367" i="1"/>
  <c r="G367" i="1" s="1"/>
  <c r="J235" i="1"/>
  <c r="B14" i="3" s="1"/>
  <c r="F373" i="1"/>
  <c r="G373" i="1" s="1"/>
  <c r="J333" i="1"/>
  <c r="B18" i="3" s="1"/>
  <c r="G355" i="1"/>
  <c r="G357" i="1"/>
  <c r="J347" i="1" l="1"/>
  <c r="B22" i="3" s="1"/>
  <c r="F377" i="1"/>
  <c r="G377" i="1" s="1"/>
  <c r="G340" i="1"/>
  <c r="B16" i="3"/>
  <c r="G16" i="3" s="1"/>
  <c r="B6" i="3"/>
  <c r="M14" i="3"/>
  <c r="N14" i="3"/>
  <c r="O14" i="3"/>
  <c r="L14" i="3"/>
  <c r="P14" i="3"/>
  <c r="K14" i="3"/>
  <c r="P10" i="3"/>
  <c r="Q10" i="3"/>
  <c r="R10" i="3"/>
  <c r="S10" i="3"/>
  <c r="T10" i="3"/>
  <c r="O10" i="3"/>
  <c r="H8" i="3"/>
  <c r="I8" i="3"/>
  <c r="J8" i="3"/>
  <c r="K8" i="3"/>
  <c r="L8" i="3"/>
  <c r="M8" i="3"/>
  <c r="D8" i="3"/>
  <c r="E8" i="3"/>
  <c r="F8" i="3"/>
  <c r="G8" i="3"/>
  <c r="K18" i="3"/>
  <c r="O18" i="3"/>
  <c r="S18" i="3"/>
  <c r="C18" i="3"/>
  <c r="E18" i="3"/>
  <c r="H18" i="3"/>
  <c r="I18" i="3"/>
  <c r="L18" i="3"/>
  <c r="M18" i="3"/>
  <c r="N18" i="3"/>
  <c r="P18" i="3"/>
  <c r="Q18" i="3"/>
  <c r="R18" i="3"/>
  <c r="T18" i="3"/>
  <c r="U18" i="3"/>
  <c r="D18" i="3"/>
  <c r="F18" i="3"/>
  <c r="G18" i="3"/>
  <c r="J18" i="3"/>
  <c r="C22" i="3"/>
  <c r="U22" i="3"/>
  <c r="G349" i="1" l="1"/>
  <c r="F375" i="1"/>
  <c r="J340" i="1"/>
  <c r="B20" i="3" s="1"/>
  <c r="O16" i="3"/>
  <c r="P16" i="3"/>
  <c r="N16" i="3"/>
  <c r="M16" i="3"/>
  <c r="F16" i="3"/>
  <c r="L16" i="3"/>
  <c r="K16" i="3"/>
  <c r="J16" i="3"/>
  <c r="I16" i="3"/>
  <c r="H16" i="3"/>
  <c r="B26" i="3"/>
  <c r="C26" i="3"/>
  <c r="G6" i="3"/>
  <c r="H6" i="3"/>
  <c r="I6" i="3"/>
  <c r="J6" i="3"/>
  <c r="K6" i="3"/>
  <c r="L6" i="3"/>
  <c r="M6" i="3"/>
  <c r="N6" i="3"/>
  <c r="O6" i="3"/>
  <c r="Q6" i="3"/>
  <c r="S6" i="3"/>
  <c r="T6" i="3"/>
  <c r="E6" i="3"/>
  <c r="F6" i="3"/>
  <c r="P6" i="3"/>
  <c r="R6" i="3"/>
  <c r="U26" i="3"/>
  <c r="J20" i="3" l="1"/>
  <c r="J26" i="3" s="1"/>
  <c r="J25" i="3" s="1"/>
  <c r="M20" i="3"/>
  <c r="M26" i="3" s="1"/>
  <c r="M25" i="3" s="1"/>
  <c r="L20" i="3"/>
  <c r="L26" i="3" s="1"/>
  <c r="L25" i="3" s="1"/>
  <c r="S20" i="3"/>
  <c r="S26" i="3" s="1"/>
  <c r="S25" i="3" s="1"/>
  <c r="H20" i="3"/>
  <c r="H26" i="3" s="1"/>
  <c r="H25" i="3" s="1"/>
  <c r="G20" i="3"/>
  <c r="G26" i="3" s="1"/>
  <c r="G25" i="3" s="1"/>
  <c r="K20" i="3"/>
  <c r="K26" i="3" s="1"/>
  <c r="K25" i="3" s="1"/>
  <c r="N20" i="3"/>
  <c r="O20" i="3"/>
  <c r="O26" i="3" s="1"/>
  <c r="O25" i="3" s="1"/>
  <c r="T20" i="3"/>
  <c r="T26" i="3" s="1"/>
  <c r="T25" i="3" s="1"/>
  <c r="I20" i="3"/>
  <c r="I26" i="3" s="1"/>
  <c r="I25" i="3" s="1"/>
  <c r="F20" i="3"/>
  <c r="F26" i="3" s="1"/>
  <c r="F25" i="3" s="1"/>
  <c r="P20" i="3"/>
  <c r="P26" i="3" s="1"/>
  <c r="P25" i="3" s="1"/>
  <c r="Q20" i="3"/>
  <c r="Q26" i="3" s="1"/>
  <c r="Q25" i="3" s="1"/>
  <c r="R20" i="3"/>
  <c r="R26" i="3" s="1"/>
  <c r="R25" i="3" s="1"/>
  <c r="D20" i="3"/>
  <c r="D26" i="3" s="1"/>
  <c r="D25" i="3" s="1"/>
  <c r="D27" i="3" s="1"/>
  <c r="E20" i="3"/>
  <c r="E26" i="3" s="1"/>
  <c r="E25" i="3" s="1"/>
  <c r="G375" i="1"/>
  <c r="G379" i="1" s="1"/>
  <c r="E375" i="1"/>
  <c r="F379" i="1"/>
  <c r="I349" i="1"/>
  <c r="I347" i="1" s="1"/>
  <c r="E367" i="1"/>
  <c r="J349" i="1"/>
  <c r="E377" i="1"/>
  <c r="E357" i="1"/>
  <c r="E371" i="1"/>
  <c r="E355" i="1"/>
  <c r="E373" i="1"/>
  <c r="E359" i="1"/>
  <c r="E365" i="1"/>
  <c r="E363" i="1"/>
  <c r="E369" i="1"/>
  <c r="E361" i="1"/>
  <c r="U25" i="3"/>
  <c r="C25" i="3"/>
  <c r="N26" i="3"/>
  <c r="N25" i="3" s="1"/>
  <c r="C28" i="3"/>
  <c r="I75" i="1" l="1"/>
  <c r="I18" i="1"/>
  <c r="I317" i="1"/>
  <c r="I36" i="1"/>
  <c r="I203" i="1"/>
  <c r="I169" i="1"/>
  <c r="I62" i="1"/>
  <c r="I244" i="1"/>
  <c r="I139" i="1"/>
  <c r="I122" i="1"/>
  <c r="I96" i="1"/>
  <c r="I30" i="1"/>
  <c r="I324" i="1"/>
  <c r="I31" i="1"/>
  <c r="I266" i="1"/>
  <c r="I175" i="1"/>
  <c r="I160" i="1"/>
  <c r="I56" i="1"/>
  <c r="I338" i="1"/>
  <c r="I153" i="1"/>
  <c r="I104" i="1"/>
  <c r="I149" i="1"/>
  <c r="I293" i="1"/>
  <c r="I117" i="1"/>
  <c r="I69" i="1"/>
  <c r="I184" i="1"/>
  <c r="I191" i="1"/>
  <c r="I45" i="1"/>
  <c r="I294" i="1"/>
  <c r="I99" i="1"/>
  <c r="I285" i="1"/>
  <c r="I174" i="1"/>
  <c r="I245" i="1"/>
  <c r="I32" i="1"/>
  <c r="I70" i="1"/>
  <c r="I14" i="1"/>
  <c r="I275" i="1"/>
  <c r="I6" i="1"/>
  <c r="I256" i="1"/>
  <c r="I33" i="1"/>
  <c r="I192" i="1"/>
  <c r="I209" i="1"/>
  <c r="I229" i="1"/>
  <c r="I313" i="1"/>
  <c r="I35" i="1"/>
  <c r="I126" i="1"/>
  <c r="I16" i="1"/>
  <c r="I230" i="1"/>
  <c r="I90" i="1"/>
  <c r="I214" i="1"/>
  <c r="I77" i="1"/>
  <c r="I226" i="1"/>
  <c r="I277" i="1"/>
  <c r="I250" i="1"/>
  <c r="I59" i="1"/>
  <c r="I20" i="1"/>
  <c r="I219" i="1"/>
  <c r="I91" i="1"/>
  <c r="I212" i="1"/>
  <c r="I129" i="1"/>
  <c r="I128" i="1"/>
  <c r="I246" i="1"/>
  <c r="I173" i="1"/>
  <c r="I207" i="1"/>
  <c r="I231" i="1"/>
  <c r="I89" i="1"/>
  <c r="I206" i="1"/>
  <c r="I156" i="1"/>
  <c r="I251" i="1"/>
  <c r="I345" i="1"/>
  <c r="I296" i="1"/>
  <c r="I101" i="1"/>
  <c r="I196" i="1"/>
  <c r="I295" i="1"/>
  <c r="I105" i="1"/>
  <c r="I148" i="1"/>
  <c r="I247" i="1"/>
  <c r="I186" i="1"/>
  <c r="I37" i="1"/>
  <c r="I11" i="1"/>
  <c r="I119" i="1"/>
  <c r="I73" i="1"/>
  <c r="I141" i="1"/>
  <c r="I217" i="1"/>
  <c r="I225" i="1"/>
  <c r="I157" i="1"/>
  <c r="I307" i="1"/>
  <c r="I46" i="1"/>
  <c r="I319" i="1"/>
  <c r="I253" i="1"/>
  <c r="I125" i="1"/>
  <c r="I107" i="1"/>
  <c r="I102" i="1"/>
  <c r="I43" i="1"/>
  <c r="I10" i="1"/>
  <c r="I249" i="1"/>
  <c r="I24" i="1"/>
  <c r="I64" i="1"/>
  <c r="I222" i="1"/>
  <c r="I270" i="1"/>
  <c r="I94" i="1"/>
  <c r="I38" i="1"/>
  <c r="I123" i="1"/>
  <c r="I288" i="1"/>
  <c r="I92" i="1"/>
  <c r="I145" i="1"/>
  <c r="I147" i="1"/>
  <c r="I218" i="1"/>
  <c r="I140" i="1"/>
  <c r="I312" i="1"/>
  <c r="I60" i="1"/>
  <c r="I72" i="1"/>
  <c r="I136" i="1"/>
  <c r="I311" i="1"/>
  <c r="I220" i="1"/>
  <c r="I80" i="1"/>
  <c r="I158" i="1"/>
  <c r="I23" i="1"/>
  <c r="I74" i="1"/>
  <c r="I308" i="1"/>
  <c r="I170" i="1"/>
  <c r="I120" i="1"/>
  <c r="I42" i="1"/>
  <c r="I137" i="1"/>
  <c r="I25" i="1"/>
  <c r="I21" i="1"/>
  <c r="I109" i="1"/>
  <c r="I233" i="1"/>
  <c r="I61" i="1"/>
  <c r="I242" i="1"/>
  <c r="I331" i="1"/>
  <c r="I316" i="1"/>
  <c r="I76" i="1"/>
  <c r="I22" i="1"/>
  <c r="I154" i="1"/>
  <c r="I193" i="1"/>
  <c r="I44" i="1"/>
  <c r="I168" i="1"/>
  <c r="I97" i="1"/>
  <c r="I300" i="1"/>
  <c r="I172" i="1"/>
  <c r="I265" i="1"/>
  <c r="I132" i="1"/>
  <c r="I318" i="1"/>
  <c r="I248" i="1"/>
  <c r="I131" i="1"/>
  <c r="I68" i="1"/>
  <c r="I290" i="1"/>
  <c r="I274" i="1"/>
  <c r="I7" i="1"/>
  <c r="I106" i="1"/>
  <c r="I155" i="1"/>
  <c r="I213" i="1"/>
  <c r="I12" i="1"/>
  <c r="I124" i="1"/>
  <c r="I299" i="1"/>
  <c r="I28" i="1"/>
  <c r="I276" i="1"/>
  <c r="I110" i="1"/>
  <c r="I320" i="1"/>
  <c r="I57" i="1"/>
  <c r="I228" i="1"/>
  <c r="I8" i="1"/>
  <c r="I210" i="1"/>
  <c r="I67" i="1"/>
  <c r="I143" i="1"/>
  <c r="I71" i="1"/>
  <c r="I39" i="1"/>
  <c r="I133" i="1"/>
  <c r="I146" i="1"/>
  <c r="I150" i="1"/>
  <c r="I255" i="1"/>
  <c r="I254" i="1"/>
  <c r="I215" i="1"/>
  <c r="I100" i="1"/>
  <c r="I29" i="1"/>
  <c r="I227" i="1"/>
  <c r="I281" i="1"/>
  <c r="I161" i="1"/>
  <c r="I283" i="1"/>
  <c r="I302" i="1"/>
  <c r="I142" i="1"/>
  <c r="I103" i="1"/>
  <c r="I130" i="1"/>
  <c r="I40" i="1"/>
  <c r="I138" i="1"/>
  <c r="I224" i="1"/>
  <c r="I282" i="1"/>
  <c r="I95" i="1"/>
  <c r="I78" i="1"/>
  <c r="I301" i="1"/>
  <c r="I323" i="1"/>
  <c r="I223" i="1"/>
  <c r="I204" i="1"/>
  <c r="I55" i="1"/>
  <c r="I289" i="1"/>
  <c r="I303" i="1"/>
  <c r="I98" i="1"/>
  <c r="I216" i="1"/>
  <c r="I13" i="1"/>
  <c r="I79" i="1"/>
  <c r="I93" i="1"/>
  <c r="I292" i="1"/>
  <c r="I108" i="1"/>
  <c r="I63" i="1"/>
  <c r="I41" i="1"/>
  <c r="I306" i="1"/>
  <c r="I284" i="1"/>
  <c r="I152" i="1"/>
  <c r="I291" i="1"/>
  <c r="I135" i="1"/>
  <c r="I134" i="1"/>
  <c r="I127" i="1"/>
  <c r="I221" i="1"/>
  <c r="I208" i="1"/>
  <c r="I151" i="1"/>
  <c r="I9" i="1"/>
  <c r="I211" i="1"/>
  <c r="I269" i="1"/>
  <c r="I17" i="1"/>
  <c r="I159" i="1"/>
  <c r="I171" i="1"/>
  <c r="I19" i="1"/>
  <c r="I144" i="1"/>
  <c r="I5" i="1"/>
  <c r="I185" i="1"/>
  <c r="I280" i="1"/>
  <c r="I58" i="1"/>
  <c r="I271" i="1"/>
  <c r="I243" i="1"/>
  <c r="I15" i="1"/>
  <c r="I121" i="1"/>
  <c r="I118" i="1"/>
  <c r="I252" i="1"/>
  <c r="I205" i="1"/>
  <c r="I34" i="1"/>
  <c r="I232" i="1"/>
  <c r="D28" i="3"/>
  <c r="E28" i="3" s="1"/>
  <c r="E379" i="1"/>
  <c r="F28" i="3"/>
  <c r="G28" i="3" s="1"/>
  <c r="H28" i="3" s="1"/>
  <c r="I28" i="3" s="1"/>
  <c r="J28" i="3" s="1"/>
  <c r="K28" i="3" s="1"/>
  <c r="L28" i="3" s="1"/>
  <c r="M28" i="3" s="1"/>
  <c r="N28" i="3" s="1"/>
  <c r="O28" i="3" s="1"/>
  <c r="P28" i="3" s="1"/>
  <c r="Q28" i="3" s="1"/>
  <c r="R28" i="3" s="1"/>
  <c r="S28" i="3" s="1"/>
  <c r="T28" i="3" s="1"/>
  <c r="U28" i="3" s="1"/>
  <c r="E27" i="3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T27" i="3" s="1"/>
  <c r="U27" i="3" s="1"/>
</calcChain>
</file>

<file path=xl/sharedStrings.xml><?xml version="1.0" encoding="utf-8"?>
<sst xmlns="http://schemas.openxmlformats.org/spreadsheetml/2006/main" count="1118" uniqueCount="507">
  <si>
    <t>Descrição</t>
  </si>
  <si>
    <t>Cód. Auxiliar</t>
  </si>
  <si>
    <t>Serviço</t>
  </si>
  <si>
    <t>Bdi</t>
  </si>
  <si>
    <t>Unid.</t>
  </si>
  <si>
    <t>Quantidade</t>
  </si>
  <si>
    <t>Preço Unitário</t>
  </si>
  <si>
    <t>Total</t>
  </si>
  <si>
    <t>TERRAPLENAGEM</t>
  </si>
  <si>
    <t>RAMO 100</t>
  </si>
  <si>
    <t>DESMATAMENTO E LIMPEZA - INCLUSO DESTOCAMENTO DE ÁRVORES COM DIÂMETROS MENORES DE 15 cm</t>
  </si>
  <si>
    <t xml:space="preserve">m2    </t>
  </si>
  <si>
    <t>DESTOCAMENTO DE ÁRVORES COM DIÂMETRO DE 15 A 30 cm</t>
  </si>
  <si>
    <t xml:space="preserve">un    </t>
  </si>
  <si>
    <t>CARGA DE ENTULHOS</t>
  </si>
  <si>
    <t xml:space="preserve">m3    </t>
  </si>
  <si>
    <t>TRANSPORTE DE ENTULHOS</t>
  </si>
  <si>
    <t xml:space="preserve">m3km  </t>
  </si>
  <si>
    <t>ESCAVAÇÃO, CARGA E TRANSPORTE DE MATERIAL DE 1ª CATEGORIA ATÉ 50M</t>
  </si>
  <si>
    <t>ESCAV., CARGA E TRANSPORTE DE MAT. 1ª CATEG. - C/ ESCAVADEIRA - (DT: 51 A 200M)</t>
  </si>
  <si>
    <t>ESCAV., CARGA E TRANSPORTE DE MAT. 1ª CATEG. - C/ ESCAVADEIRA - (DT: 201 A 400M)</t>
  </si>
  <si>
    <t>ESCAV., CARGA E TRANSPORTE DE MAT. 1ª CATEG. - C/ ESCAVADEIRA - (DT: 401 A 600M)</t>
  </si>
  <si>
    <t>ESCAV., CARGA E TRANSPORTE DE MAT. 1ª CATEG. - C/ ESCAVADEIRA - (DT: 601 A 800M)</t>
  </si>
  <si>
    <t>ESCAV., CARGA E TRANSPORTE DE MAT. 1ª CATEG. - C/ ESCAVADEIRA - (DT: 801 A 1.000M)</t>
  </si>
  <si>
    <t>ESCAV., CARGA E TRANSPORTE DE MAT. 1ª CATEG. - C/ ESCAVADEIRA - (DT: 1.001 A 1.200M)</t>
  </si>
  <si>
    <t>ESCAV., CARGA E TRANSPORTE DE MAT. 1ª CATEG. - C/ ESCAVADEIRA - (DT: 1.201 A 1.400M)</t>
  </si>
  <si>
    <t>ESCAV., CARGA E TRANSPORTE DE MAT. 1ª CATEG. - C/ ESCAVADEIRA - (DT: 1.401 A 1.600M)</t>
  </si>
  <si>
    <t>ESCAV., CARGA E TRANSPORTE DE MAT. 1ª CATEG. - C/ ESCAVADEIRA - (DT: 1.601 A 1.800M)</t>
  </si>
  <si>
    <t>ESCAV., CARGA E TRANSPORTE DE MAT. 1ª CATEG. - C/ ESCAVADEIRA - (DT: 2.001 A 3.000M)</t>
  </si>
  <si>
    <t>ESCAV., CARGA E TRANSPORTE DE MAT. 1ª CATEG. - C/ ESCAVADEIRA - (DT: 3.001 A 5.000M)</t>
  </si>
  <si>
    <t>ESCAV., CARGA E TRANSPORTE DE MAT. 1ª CATEG. - C/ ESCAVADEIRA - (DT: 5.001 A 10.000M)</t>
  </si>
  <si>
    <t>COMPACTAÇÃO A 95% DO PROCTOR NORMAL</t>
  </si>
  <si>
    <t>COMPACTAÇÃO A 100% DO PROCTOR NORMAL</t>
  </si>
  <si>
    <t>ACABAMENTO E RECOMPOSIÇÃO DE EMPRESTIMO</t>
  </si>
  <si>
    <t>ESPALHAMENTO DE MATERIAL EM BOTA-FORA</t>
  </si>
  <si>
    <t>RAMO 200</t>
  </si>
  <si>
    <t>ESCAV., CARGA E TRANSPORTE DE MAT. 1ª CATEG. - C/ ESCAVADEIRA - (DT: 1.801 A 2.000M)</t>
  </si>
  <si>
    <t xml:space="preserve">Total do Grupo : </t>
  </si>
  <si>
    <t>SERVIÇOS</t>
  </si>
  <si>
    <t>REGULARIZAÇÃO E COMPACTAÇÃO DO SUB-LEITO</t>
  </si>
  <si>
    <t>40375A</t>
  </si>
  <si>
    <t>ESTABILIZAÇÃO SOLO-BRITA-CIMENTO 3% PESO - USINA + PISTA (M3)</t>
  </si>
  <si>
    <t>40606B</t>
  </si>
  <si>
    <t>ESTABILIZAÇÃO SOLO BRITA 60% PESO - USINA (BC)</t>
  </si>
  <si>
    <t>ESTABILIZAÇÃO BRITA GRADUADA - USINA</t>
  </si>
  <si>
    <t>IMPRIMAÇÃO</t>
  </si>
  <si>
    <t>PINTURA DE LIGAÇÃO</t>
  </si>
  <si>
    <t>CONCRETO BETUMINOSO USINADO À QUENTE - CBUQ - FAIXA C</t>
  </si>
  <si>
    <t>CONCRETO BETUMINOSO USINADO À QUENTE - CBUQ - FAIXA B</t>
  </si>
  <si>
    <t>REMOÇÃO E CARGA DE PAV. ASFÁLTICA ( EXCETO TRANSPORTE)</t>
  </si>
  <si>
    <t>40425A</t>
  </si>
  <si>
    <t xml:space="preserve">REMOÇÃO E CARGA DE MATERIAL GRANULAR ( EXCETO TRANSPORTE) </t>
  </si>
  <si>
    <t>AQUISIÇÃO - MATERIAL BETUMINOSO</t>
  </si>
  <si>
    <t>FORNECIMENTO DE CM-30</t>
  </si>
  <si>
    <t xml:space="preserve">T     </t>
  </si>
  <si>
    <t>FORNECIMENTO DE EMULSÃO RR-1C</t>
  </si>
  <si>
    <t>FORNECIMENTO DE CAP-50/70</t>
  </si>
  <si>
    <t>40317A</t>
  </si>
  <si>
    <t xml:space="preserve">FORNECIMENTO DE MATERIAL DE JAZIDA (SOLO) </t>
  </si>
  <si>
    <t>TRANSPORTE</t>
  </si>
  <si>
    <t>TRANSPORTE DE PAVIMENTO REMOVIDO</t>
  </si>
  <si>
    <t>TRANSPORTE COMERCIAL DE AGREGADOS</t>
  </si>
  <si>
    <t>TRANSPORTE COMERCIAL DE CIMENTO / CAL / FILLER</t>
  </si>
  <si>
    <t xml:space="preserve">TKM   </t>
  </si>
  <si>
    <t>TRANSPORTE COMERCIAL DE MATERIAL BETUMINOSO</t>
  </si>
  <si>
    <t xml:space="preserve">tkm   </t>
  </si>
  <si>
    <t>TRANSPORTE LOCAL DE MATERIAL BETUMINOSO</t>
  </si>
  <si>
    <t>TRANSPORTE LOCAL DE MASSA ASFÁLTICA</t>
  </si>
  <si>
    <t>TRANSPORTE DA MISTURA</t>
  </si>
  <si>
    <t>40320A</t>
  </si>
  <si>
    <t xml:space="preserve">TRANSPORTE DE MATERIAL DE JAZIDA (SOLO) </t>
  </si>
  <si>
    <t>FRESAGEM DESCONTÍNUA À FRIO</t>
  </si>
  <si>
    <t>RECICLAGEM DE BASE SEM MISTURA C/ INCORPORAÇÃO DO PAVIMENTO</t>
  </si>
  <si>
    <t>DRENAGEM</t>
  </si>
  <si>
    <t>MEIO FIO COM SARJETA - MFC03</t>
  </si>
  <si>
    <t xml:space="preserve">m     </t>
  </si>
  <si>
    <t>MEIO FIO SEM SARJETA - MFC05</t>
  </si>
  <si>
    <t>2003107DN</t>
  </si>
  <si>
    <t>ENTRADA PARA DESCIDA D'ÁGUA - EDA 03 A - AREIA E BRITA COMERCIAIS</t>
  </si>
  <si>
    <t>2003119DN</t>
  </si>
  <si>
    <t>ENTRADA PARA DESCIDA D'ÁGUA - EDA 03 B - AREIA E BRITA COMERCIAIS</t>
  </si>
  <si>
    <t>2003127DN</t>
  </si>
  <si>
    <t>ENTRADA PARA DESCIDA D'ÁGUA - EDA 07 A - AREIA E BRITA COMERCIAIS</t>
  </si>
  <si>
    <t>2003393DN</t>
  </si>
  <si>
    <t>DESCIDA D'ÁGUA DE ATERROS TIPO RÁPIDO - DAR 60-30 - AREIA E BRITA COMERCIAIS</t>
  </si>
  <si>
    <t>2003407DN</t>
  </si>
  <si>
    <t>DESCIDA D'ÁGUA DE ATERROS EM DEGRAUS - DAD 60-36 - AREIA E BRITA COMERCIAIS</t>
  </si>
  <si>
    <t>2003175DN</t>
  </si>
  <si>
    <t xml:space="preserve">DISSIPADOR DE ENERGIA - DED 01 A - AREIA, BRITA E PEDRA DE MÃO COMERCIAIS </t>
  </si>
  <si>
    <t>2003179DN</t>
  </si>
  <si>
    <t>DISSIPADOR DE ENERGIA - DED 03 A - AREIA, BRITA E PEDRA DE MÃO COMERCIAIS</t>
  </si>
  <si>
    <t>SARJETA TRIANGULAR DE CONCRETO - STC 73-15</t>
  </si>
  <si>
    <t>SARJETA TRIANGULAR DE CONCRETO - STC 80-17</t>
  </si>
  <si>
    <t>SARJETA DE CANTEIRO CENTRAL DE CONCRETO - STCC 100-25</t>
  </si>
  <si>
    <t>SARJETA DE CANTEIRO CENTRAL DE CONCRETO - STCC 140-35</t>
  </si>
  <si>
    <t>SARJETA DE CANTEIRO CENTRAL DE CONCRETO - SZCC 100-25</t>
  </si>
  <si>
    <t>2003245DN</t>
  </si>
  <si>
    <t>DISSIPADOR DE ENERGIA - DES 73-219 - AREIA, BRITA E PEDRA DE MÃO COMERCIAIS</t>
  </si>
  <si>
    <t>2003489DN</t>
  </si>
  <si>
    <t>CAIXA COLETORA DE SARJETA - CCS 250-100 A - COM GRELHA DE CONCRETO - AREIA E BRITA COMERCIAIS</t>
  </si>
  <si>
    <t>2003491DN</t>
  </si>
  <si>
    <t>CAIXA COLETORA DE SARJETA - CCS 250-120 A - COM GRELHA DE CONCRETO - AREIA E BRITA COMERCIAIS</t>
  </si>
  <si>
    <t>2003505DN</t>
  </si>
  <si>
    <t>CAIXA COLETORA DE SARJETA - CCS 350-100 A - COM GRELHA DE CONCRETO - AREIA E BRITA COMERCIAIS</t>
  </si>
  <si>
    <t>2003365DN</t>
  </si>
  <si>
    <t>TRANSPOSIÇÃO DE SEGMENTOS DE SARJETA - TSS 120 - AREIA E BRITA COMERCIAIS</t>
  </si>
  <si>
    <t>2003361DN</t>
  </si>
  <si>
    <t>TRANSPOSIÇÃO DE SEGMENTOS DE SARJETA - TSS 170 - AREIA E BRITA COMERCIAIS</t>
  </si>
  <si>
    <t>VALETA DE PROTEÇÃO DE ATERRO - VPAC 120-30</t>
  </si>
  <si>
    <t>VALETA DE PROTEÇÃO DE ATERRO - VPAC 160-30</t>
  </si>
  <si>
    <t>GO-CPU0320</t>
  </si>
  <si>
    <t xml:space="preserve">VALETA DE PROTEÇÃO DE ATERROS COM REVESTIMENTO DE CONCRETO - VPAC 180-60 - ESCAVAÇÃO MECÂNICA - AREIA E BRITA COMERCIAIS </t>
  </si>
  <si>
    <t>GO-CPU0321</t>
  </si>
  <si>
    <t xml:space="preserve">VALETA DE PROTEÇÃO DE ATERROS COM REVESTIMENTO DE CONCRETO - VPAC 220-60 - ESCAVAÇÃO MECÂNICA - AREIA E BRITA COMERCIAIS </t>
  </si>
  <si>
    <t>VALETA DE PROTEÇÃO DE CORTE - VPCC 120-30</t>
  </si>
  <si>
    <t>VALETA DE PROTEÇÃO DE CORTE - VPCC 160-30</t>
  </si>
  <si>
    <t>GO-CPU0324</t>
  </si>
  <si>
    <t>VALETA DE PROTEÇÃO DE ATERROS COM REVESTIMENTO DE CONCRETO - VPCC 180-60 - ESCAVAÇÃO MECÂNICA - AREIA E BRITA COMERCIAIS</t>
  </si>
  <si>
    <t>GO-CPU0325</t>
  </si>
  <si>
    <t>VALETA DE PROTEÇÃO DE ATERROS COM REVESTIMENTO DE CONCRETO - VPCC 220-60 - ESCAVAÇÃO MECÂNICA - AREIA E BRITA COMERCIAIS</t>
  </si>
  <si>
    <t>CPU0341</t>
  </si>
  <si>
    <t>VALETA DE PROTEÇÃO DE ATERROS COM REVESTIMENTO DE CONCRETO - VBAC 70-20 - ESCAVAÇÃO MECÂNICA - AREIA E BRITA COMERCIAIS</t>
  </si>
  <si>
    <t>2003233DN</t>
  </si>
  <si>
    <t>DISSIPADOR DE ENERGIA - DES 120-360 - AREIA, BRITA E PEDRA DE MÃO COMERCIAIS</t>
  </si>
  <si>
    <t>2003227DN</t>
  </si>
  <si>
    <t>DISSIPADOR DE ENERGIA - DES 160-480 - AREIA, BRITA E PEDRA DE MÃO COMERCIAIS</t>
  </si>
  <si>
    <t>2003187DN</t>
  </si>
  <si>
    <t>DISSIPADOR DE ENERGIA - DED 07 A - AREIA, BRITA E PEDRA DE MÃO COMERCIAIS</t>
  </si>
  <si>
    <t>DRENO PROFUNDO, CORTE EM SOLO PEAD - DPS13 (ANTIGO DPS07) (EXCETO ESCAVAÇÃO) (BC)</t>
  </si>
  <si>
    <t>GO-CPU0188</t>
  </si>
  <si>
    <t>CAIXA DE INSPEÇÃO PARA DRENO PROFUNDO TIPO CID01</t>
  </si>
  <si>
    <t>2003650DN</t>
  </si>
  <si>
    <t>CAIXA DE LIGAÇÃO E PASSAGEM - CLP 05 - AREIA E BRITA COMERCIAIS</t>
  </si>
  <si>
    <t>BOCA P/ DRENO PROFUNDO - BSD 02 (AC/BC)</t>
  </si>
  <si>
    <t>ESCAVAÇÃO MEC. DE VALAS DE MAT. 1ª CAT. (INCL. TRANSPORTE)</t>
  </si>
  <si>
    <t>CAIAÇÃO (3 DEMÃOS)</t>
  </si>
  <si>
    <t>TRANSPORTE LOCAL DE CIMENTO / CAL / FILLER</t>
  </si>
  <si>
    <t>TRANSPORTE LOCAL DE AGREGADOS</t>
  </si>
  <si>
    <t>TRANSPORTE LOCAL DE MATERIAL BÁSICO</t>
  </si>
  <si>
    <t>TRANSPORTE COMERCIAL DE MATERIAL BÁSICO</t>
  </si>
  <si>
    <t>TRANSPORTE LOCAL DE CONCRETO</t>
  </si>
  <si>
    <t>OBRAS COMPLEMENTARES</t>
  </si>
  <si>
    <t>CERCA DE VEDAÇÃO DE FAIXA DE DOMÍNIO EM MADEIRA</t>
  </si>
  <si>
    <t xml:space="preserve">M     </t>
  </si>
  <si>
    <t>REMOÇÃO DE CERCA</t>
  </si>
  <si>
    <t>DEFENSA METÁLICA SEMI-MALEÁVEL SIMPLES</t>
  </si>
  <si>
    <t>3713873DN</t>
  </si>
  <si>
    <t>MÓDULO DE TRANSIÇÃO DE DEFENSA METÁLICA PARA BARREIRA RÍGIDA - FORNECIMENTO E IMPLANTAÇÃO</t>
  </si>
  <si>
    <t>SEMEADURA MANUAL</t>
  </si>
  <si>
    <t>4413013DN</t>
  </si>
  <si>
    <t xml:space="preserve">CERCA DE PASSAGEM DE FAUNA COM TELA DE ALAMBRADO SOBRE MURETA DE BLOCOS DE CONCRETO - H= 20CM - MOURÕES DE MADEIRA A CADA 2,5 M E ESTICADOR A CADA 50 M </t>
  </si>
  <si>
    <t>SINALIZAÇÃO</t>
  </si>
  <si>
    <t>SINALIZAÇÃO VERTICAL</t>
  </si>
  <si>
    <t>SINALIZAÇÃO VERTICAL SEMI-REFLETIVA</t>
  </si>
  <si>
    <t>5213868DN</t>
  </si>
  <si>
    <t>SUPORTE METÁLICO GALVANIZADO PARA PLACAS - 2,00 X 1,00 M - FORNECIMENTO E IMPLANTAÇÃO</t>
  </si>
  <si>
    <t>5213364DN</t>
  </si>
  <si>
    <t>REMOÇÃO DE PLACA DE SINALIZAÇÃO</t>
  </si>
  <si>
    <t>SINALIZAÇÃO HORIZONTAL</t>
  </si>
  <si>
    <t>SINALIZAÇÃO DEFINITIVA</t>
  </si>
  <si>
    <t>SINALIZAÇÃO HORIZONTAL COM RESINA ACRÍLICA EMULSIONADA EM ÁGUA (0,5 mm)</t>
  </si>
  <si>
    <t>TACHA REFLETIVA MONODIRECIONAL</t>
  </si>
  <si>
    <t xml:space="preserve">Un    </t>
  </si>
  <si>
    <t>TACHA REFLETIVA BIDIRECIONAL</t>
  </si>
  <si>
    <t>SINALIZAÇÃO PROVISÓRIA</t>
  </si>
  <si>
    <t>SINALIZAÇÃO HORIZONTAL COM RESINA ACRÍLICA EMULSIONADA EM ÁGUA (0,4 mm)</t>
  </si>
  <si>
    <t>OBRAS DE ARTE CORRENTES</t>
  </si>
  <si>
    <t>0605504DN</t>
  </si>
  <si>
    <t>BUEIRO METÁLICO SEM INTERRUPÇÃO DE TRÁFEGO - D = 1,20 M - CHAPA GALVANIZADA - ESCAVADO EM MATERIAL DE 1ª CATEGORIA - ATERRO RODOVIÁRIO MÁXIMO = 9,00 M</t>
  </si>
  <si>
    <t>0605574DN</t>
  </si>
  <si>
    <t xml:space="preserve">BUEIRO METÁLICO SEM INTERRUPÇÃO DE TRÁFEGO - D=1,80M - CHAPA COM EPÓXI - ESCAVADO EM MATERIAL DE 1ª CATEGORIA - ATERRO RODOVIÁRIO MÁXIMO = 6,00M </t>
  </si>
  <si>
    <t>0605575DN</t>
  </si>
  <si>
    <t xml:space="preserve">BUEIRO METÁLICO SEM INTERRUPÇÃO DE TRÁFEGO - D=2,00M - CHAPA COM EPÓXI - ESCAVAÇÃO DE MATERIAL DE 1ª CATEGORIA - ATERRO RODOVIÁRIO MÁXIMO =5,40 M </t>
  </si>
  <si>
    <t>CORPO DE BSTC D=1,00M (EXCETO ESCAVAÇÃO)</t>
  </si>
  <si>
    <t>CORPO DE BSTC D=1,20M (EXCETO ESCAVAÇÃO)</t>
  </si>
  <si>
    <t>GO-CPU0351</t>
  </si>
  <si>
    <t xml:space="preserve">BOCA DE BSTM D = 1,20 M - ESCONSIDADE 0° - AREIA E BRITA COMERCIAIS - ALAS ESCONSAS </t>
  </si>
  <si>
    <t>BOCA DE BSTC D=1,00M (AC/BC)</t>
  </si>
  <si>
    <t>BOCA DE BSTC D=1,20M (AC/BC)</t>
  </si>
  <si>
    <t>2003457DN</t>
  </si>
  <si>
    <t>DISSIPADOR DE ENERGIA - DEB 300-366 - AREIA, BRITA E PEDRA DE MÃO COMERCIAIS</t>
  </si>
  <si>
    <t>2003459DN</t>
  </si>
  <si>
    <t xml:space="preserve">DISSIPADOR DE ENERGIA - DEB 360-414 - AREIA, BRITA E PEDRÃO DE MÃO COMERCIAIS </t>
  </si>
  <si>
    <t>ENROCAMENTO DE PEDRA ARGAMASSADA</t>
  </si>
  <si>
    <t>ENROCAMENTO DE PEDRA ARRUMADA</t>
  </si>
  <si>
    <t>4816000DN</t>
  </si>
  <si>
    <t>ESCAVAÇÃO MANUAL DE TUNNEL LINER EM MATERIAL DE 1ª CATEGORIA</t>
  </si>
  <si>
    <t>COMPACTAÇÃO MANUAL</t>
  </si>
  <si>
    <t>RIP-RAP</t>
  </si>
  <si>
    <t>DEMOLIÇÃO DE CONCRETO SIMPLES</t>
  </si>
  <si>
    <t>DEMOLIÇÃO DE CONCRETO ARMADO</t>
  </si>
  <si>
    <t>TRANSPORTE LOCAL DE TUBOS</t>
  </si>
  <si>
    <t>TRANSPORTE COMERCIAL DE TUBOS</t>
  </si>
  <si>
    <t>OBRAS DE ARTE ESPECIAIS</t>
  </si>
  <si>
    <t>GALERIAS</t>
  </si>
  <si>
    <t>0705277DN</t>
  </si>
  <si>
    <t>CORPO DE BDCC 2,00 X 2,00 M - MOLDADO NO LOCAL - ALTURA DO ATERRO 5,00 A 7,50 - AREIA E BRITA COMERCIAIS</t>
  </si>
  <si>
    <t>0705273DN</t>
  </si>
  <si>
    <t>CORPO DE BDCC 2,00 X 2,00 M - MOLDADO NO LOCAL - ALTURA DO ATERRO 1,00 A 2,50 - AREIA E BRITA COMERCIAIS</t>
  </si>
  <si>
    <t>0705322DN</t>
  </si>
  <si>
    <t>BOCA DE BDCC 2,00 X 2,00 M - ESCONSIDADE 0° - AREIA E BRITA COMERCIAIS</t>
  </si>
  <si>
    <t>CPU0374</t>
  </si>
  <si>
    <t>CAIXA DE LIGAÇÃO E PASSAGEM - CLP 19 - AREIA E BRITA COMERCIAIS</t>
  </si>
  <si>
    <t>CPU0375</t>
  </si>
  <si>
    <t xml:space="preserve">CAIXA DE LIGAÇÃO E PASSAGEM - CLP 20 - AREIA E BRITA COMERCIAIS </t>
  </si>
  <si>
    <t>PONTE RIO CACHOEIRINHA</t>
  </si>
  <si>
    <t>SERVIÇOS PRELIMINARES</t>
  </si>
  <si>
    <t>ESCAVAÇÃO MANUAL MAT. 1ª CAT.</t>
  </si>
  <si>
    <t>REATERRO APILOADO DE VALAS</t>
  </si>
  <si>
    <t>INFRAESTRUTURA ESTACAS RAIZ</t>
  </si>
  <si>
    <t>ESTACA RAIZ PERFURADA NO SOLO - D = 40 cm</t>
  </si>
  <si>
    <t>ARRASAMENTO DE ESTACAS DE CONCRETO</t>
  </si>
  <si>
    <t>AÇO CA50/60 AQUISIÇÃO, ARMAÇÃO E COLOCAÇÃO (INCLUSO PERDAS)</t>
  </si>
  <si>
    <t xml:space="preserve">Kg    </t>
  </si>
  <si>
    <t>INFRAESTRUTURA BLOCOS</t>
  </si>
  <si>
    <t>FORMA CHAPA COMPENSADA PLASTIFICADA 17 mm - UTILIZAÇÃO 1X (CONFECÇÃO, INSTALAÇÃO E RETIRADA)</t>
  </si>
  <si>
    <t>CONCRETO FCK=30 MPA</t>
  </si>
  <si>
    <t>CONCRETO FCK=15 MPA</t>
  </si>
  <si>
    <t>MESOESTRUTURA</t>
  </si>
  <si>
    <t>1109680DN</t>
  </si>
  <si>
    <t xml:space="preserve">ARGAMASSA PARA REPAROS E GRAUTEAMENTO - CONFECÇÃO EM MISTURADOR E LANÇAMENTO MANUAL </t>
  </si>
  <si>
    <t>NEOPRENE</t>
  </si>
  <si>
    <t>ESCORAMENTO PARA PONTE</t>
  </si>
  <si>
    <t>SUPERESTRUTURA (LONGARINA)</t>
  </si>
  <si>
    <t>CONCRETO FCK=40 MPA</t>
  </si>
  <si>
    <t>FORNECIMENTO, CORTE E COLOCAÇÃO DE CABO CP-190 RB D=12,7mm C/ ADERÊNCIA</t>
  </si>
  <si>
    <t>FORNECIMENTO E COLOCAÇÃO DE ANCORAGENS ATIVAS, PROTENSÃO E INJEÇÃO DE NATA DE CIMENTO (12 CORDOALHAS D=12,7mm) - MAC</t>
  </si>
  <si>
    <t>FORNECIMENTO, CORTE E COLOCAÇÃO DE BAINHA METÁLICA D=80,0mm P/ 12 CORDOALHAS (D=15,2mm) - MAC</t>
  </si>
  <si>
    <t>3806420DN</t>
  </si>
  <si>
    <t xml:space="preserve">LANÇAMENTO DE VIGA PRÉ-MOLDADA DE ATÉ 500 kN COM UTILIZAÇÃO DE GUINDASTE </t>
  </si>
  <si>
    <t>5915400DN</t>
  </si>
  <si>
    <t>CARGA, DESCARGA E MANOBRA DE VIGAS PRÉ-MOLDADAS DE ATÉ 500 KN EM CAVALO MECÂNICO COM DOLLY DE 4 EIXOS COM CAPACIDADE DE 57 T</t>
  </si>
  <si>
    <t>TRANSPORTE LOCAL COM DOLLY</t>
  </si>
  <si>
    <t xml:space="preserve">Km    </t>
  </si>
  <si>
    <t>SUPERESTRUTURA (LAJA + TRANSVERSINA + ALAS)</t>
  </si>
  <si>
    <t>TRANSLADO, LANÇAMENTO E POSICIONAMENTO DE PRÉ-LAJES</t>
  </si>
  <si>
    <t>LAJE DE TRANSIÇÃO</t>
  </si>
  <si>
    <t>BARREIRA RÍGIDA (NEW JERSEY)</t>
  </si>
  <si>
    <t>TRANSPORTES</t>
  </si>
  <si>
    <t>TRANSPORTE COMERCIAL DE AGREGADOS - OAE</t>
  </si>
  <si>
    <t>TRANSPORTE DE PRÉ MOLDADOS EM CAMINHÃO PRANCHA 3 EIXOS - CAP. 30 T</t>
  </si>
  <si>
    <t>DIVERSOS</t>
  </si>
  <si>
    <t>DRENOS 100 MM</t>
  </si>
  <si>
    <t>ADMINISTRAÇÃO LOCAL</t>
  </si>
  <si>
    <t>CANTEIRO DE OBRA</t>
  </si>
  <si>
    <t>MOBILIZAÇÃO E DESMOBILIZAÇÃO</t>
  </si>
  <si>
    <t>MOBILIZAÇÃO / DESMOBILIZAÇÃO - CONFORME DEMONSTRATIVO</t>
  </si>
  <si>
    <t xml:space="preserve">Total do Orçamento : </t>
  </si>
  <si>
    <t>Discriminação</t>
  </si>
  <si>
    <t>Percentual</t>
  </si>
  <si>
    <t>Preço</t>
  </si>
  <si>
    <t xml:space="preserve">Preço/Km    </t>
  </si>
  <si>
    <t>Total geral</t>
  </si>
  <si>
    <t>PAVIMENTAÇÃO - IMPLANTAÇÃO</t>
  </si>
  <si>
    <t>PAVIMENTAÇÃO - RESTAURAÇÃO</t>
  </si>
  <si>
    <t>ADMINISTRAÇÃO LOCAL - TIPO D2</t>
  </si>
  <si>
    <t>CANTEIRO DE OBRA - TIPO D2</t>
  </si>
  <si>
    <t>3713902-I-DN</t>
  </si>
  <si>
    <t>TERMINAL ABSORVEDOR DE ENERGIA DE ABERTURA COM NIVEL DE CONTENÇÃO TL3 PARA DEFENSA METÁLICA - IMPLANTAÇÃO</t>
  </si>
  <si>
    <t>3713902-F-DN</t>
  </si>
  <si>
    <t xml:space="preserve">TERMINAL ABSORVEDOR DE ENERGIA DE ABERTURA COM NIVEL DE CONTENÇÃO TL3 PARA DEFENSA METÁLICA - FORNECIMENTO </t>
  </si>
  <si>
    <t>CRONOGRAMA FISICO - FINANCEIRO</t>
  </si>
  <si>
    <t>Rodovia: GO-330, Posto Policial de Catalão / Trevo de Goiandira, 11,40 km</t>
  </si>
  <si>
    <t>Valor</t>
  </si>
  <si>
    <t>1 mês</t>
  </si>
  <si>
    <t>2 mês</t>
  </si>
  <si>
    <t>3 mês</t>
  </si>
  <si>
    <t>4 mês</t>
  </si>
  <si>
    <t>5 mês</t>
  </si>
  <si>
    <t>6 mês</t>
  </si>
  <si>
    <t>7 mês</t>
  </si>
  <si>
    <t>8 mês</t>
  </si>
  <si>
    <t>9 mês</t>
  </si>
  <si>
    <t>10 mês</t>
  </si>
  <si>
    <t>11 mês</t>
  </si>
  <si>
    <t>12 mês</t>
  </si>
  <si>
    <t>13 mês</t>
  </si>
  <si>
    <t>14 mês</t>
  </si>
  <si>
    <t>15 mês</t>
  </si>
  <si>
    <t>16 mês</t>
  </si>
  <si>
    <t>17 mês</t>
  </si>
  <si>
    <t>18 mês</t>
  </si>
  <si>
    <t>19 mês</t>
  </si>
  <si>
    <t>CORRENTES</t>
  </si>
  <si>
    <t>Porcentagem</t>
  </si>
  <si>
    <t>Porcentagem Acumulado</t>
  </si>
  <si>
    <t>Valor Acumulado</t>
  </si>
  <si>
    <r>
      <rPr>
        <sz val="5"/>
        <rFont val="Arial MT"/>
        <family val="2"/>
      </rPr>
      <t>-</t>
    </r>
  </si>
  <si>
    <t>PAVIMENTAÇÃO</t>
  </si>
  <si>
    <t>OBRAS DE ARTE</t>
  </si>
  <si>
    <r>
      <rPr>
        <sz val="8"/>
        <rFont val="Arial MT"/>
        <family val="2"/>
      </rPr>
      <t>-</t>
    </r>
  </si>
  <si>
    <r>
      <rPr>
        <b/>
        <sz val="10"/>
        <rFont val="Arial"/>
        <family val="2"/>
      </rPr>
      <t>Equipamento</t>
    </r>
  </si>
  <si>
    <r>
      <rPr>
        <b/>
        <sz val="10"/>
        <rFont val="Arial"/>
        <family val="2"/>
      </rPr>
      <t>Mobilizador</t>
    </r>
  </si>
  <si>
    <r>
      <rPr>
        <b/>
        <sz val="10"/>
        <rFont val="Arial"/>
        <family val="2"/>
      </rPr>
      <t>FU</t>
    </r>
  </si>
  <si>
    <r>
      <rPr>
        <b/>
        <sz val="10"/>
        <rFont val="Arial"/>
        <family val="2"/>
      </rPr>
      <t>Hora</t>
    </r>
  </si>
  <si>
    <r>
      <rPr>
        <b/>
        <sz val="10"/>
        <rFont val="Arial"/>
        <family val="2"/>
      </rPr>
      <t>DT*</t>
    </r>
  </si>
  <si>
    <r>
      <rPr>
        <b/>
        <sz val="10"/>
        <rFont val="Arial"/>
        <family val="2"/>
      </rPr>
      <t>Custo</t>
    </r>
  </si>
  <si>
    <r>
      <rPr>
        <b/>
        <sz val="10"/>
        <rFont val="Arial"/>
        <family val="2"/>
      </rPr>
      <t>Quantidade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</si>
  <si>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</si>
  <si>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(A)</t>
    </r>
  </si>
  <si>
    <r>
      <rPr>
        <b/>
        <sz val="10"/>
        <rFont val="Arial"/>
        <family val="2"/>
      </rPr>
      <t>Produtiva (B)</t>
    </r>
  </si>
  <si>
    <r>
      <rPr>
        <b/>
        <sz val="10"/>
        <rFont val="Arial"/>
        <family val="2"/>
      </rPr>
      <t>(C)</t>
    </r>
  </si>
  <si>
    <r>
      <rPr>
        <b/>
        <sz val="10"/>
        <rFont val="Arial"/>
        <family val="2"/>
      </rPr>
      <t>(D=AxB/60)</t>
    </r>
  </si>
  <si>
    <r>
      <rPr>
        <b/>
        <sz val="10"/>
        <rFont val="Arial"/>
        <family val="2"/>
      </rPr>
      <t>(E)</t>
    </r>
  </si>
  <si>
    <r>
      <rPr>
        <b/>
        <sz val="10"/>
        <rFont val="Arial"/>
        <family val="2"/>
      </rPr>
      <t>(CxDxE)</t>
    </r>
  </si>
  <si>
    <r>
      <rPr>
        <b/>
        <sz val="10"/>
        <rFont val="Arial"/>
        <family val="2"/>
      </rPr>
      <t>Autopropelidos</t>
    </r>
  </si>
  <si>
    <r>
      <rPr>
        <sz val="10"/>
        <rFont val="Arial MT"/>
        <family val="2"/>
      </rPr>
      <t>CAMINHÃO APLICADOR DE MATERIAL TERMOPLÁSTICO</t>
    </r>
  </si>
  <si>
    <r>
      <rPr>
        <sz val="10"/>
        <rFont val="Arial MT"/>
        <family val="2"/>
      </rPr>
      <t>CAMINHÃO BASCULANTE 10 M3 - 15 T</t>
    </r>
  </si>
  <si>
    <r>
      <rPr>
        <sz val="10"/>
        <rFont val="Arial MT"/>
        <family val="2"/>
      </rPr>
      <t>CAMINHÃO BASCULANTE 6 M3 - 10,5 T</t>
    </r>
  </si>
  <si>
    <r>
      <rPr>
        <sz val="10"/>
        <rFont val="Arial MT"/>
        <family val="2"/>
      </rPr>
      <t>CAMINHÃO CARROCERIA MADEIRA - 15 T</t>
    </r>
  </si>
  <si>
    <r>
      <rPr>
        <sz val="10"/>
        <rFont val="Arial MT"/>
        <family val="2"/>
      </rPr>
      <t>CAMINHÃO COM BATE ESTACAS HIDRÁULICO PARA DEFENSA</t>
    </r>
  </si>
  <si>
    <r>
      <rPr>
        <sz val="10"/>
        <rFont val="Arial MT"/>
        <family val="2"/>
      </rPr>
      <t>CAMINHÃO COM DOLLY - 57 t</t>
    </r>
  </si>
  <si>
    <r>
      <rPr>
        <sz val="10"/>
        <rFont val="Arial MT"/>
        <family val="2"/>
      </rPr>
      <t>CAMINHÃO DISTRIBUIDOR DE CIMENTO</t>
    </r>
  </si>
  <si>
    <r>
      <rPr>
        <sz val="10"/>
        <rFont val="Arial MT"/>
        <family val="2"/>
      </rPr>
      <t>CAMINHÃO MUNCK (GUINDAUTO)</t>
    </r>
  </si>
  <si>
    <r>
      <rPr>
        <sz val="10"/>
        <rFont val="Arial MT"/>
        <family val="2"/>
      </rPr>
      <t>CAMINHÃO PARA HIDROSSEMEADURA</t>
    </r>
  </si>
  <si>
    <r>
      <rPr>
        <sz val="10"/>
        <rFont val="Arial MT"/>
        <family val="2"/>
      </rPr>
      <t>CAMINHÃO PARA PINTURA A FRIO COM DEMARCADOR DE FAIXAS</t>
    </r>
  </si>
  <si>
    <r>
      <rPr>
        <sz val="10"/>
        <rFont val="Arial MT"/>
        <family val="2"/>
      </rPr>
      <t>CAMINHÃO TANQUE 10.000L</t>
    </r>
  </si>
  <si>
    <r>
      <rPr>
        <sz val="10"/>
        <rFont val="Arial MT"/>
        <family val="2"/>
      </rPr>
      <t>CAMINHÃO TANQUE 6.000L</t>
    </r>
  </si>
  <si>
    <r>
      <rPr>
        <sz val="10"/>
        <rFont val="Arial MT"/>
        <family val="2"/>
      </rPr>
      <t>CAMINHÃO TANQUE DISTRIBUIDOR DE ASFALTO</t>
    </r>
  </si>
  <si>
    <r>
      <rPr>
        <sz val="10"/>
        <rFont val="Arial MT"/>
        <family val="2"/>
      </rPr>
      <t>USINA MÓVEL PARA MICRO REVESTIMENTO</t>
    </r>
  </si>
  <si>
    <r>
      <rPr>
        <sz val="10"/>
        <rFont val="Arial MT"/>
        <family val="2"/>
      </rPr>
      <t>E9094</t>
    </r>
  </si>
  <si>
    <r>
      <rPr>
        <b/>
        <sz val="10"/>
        <rFont val="Arial"/>
        <family val="2"/>
      </rPr>
      <t>Rebocados</t>
    </r>
  </si>
  <si>
    <r>
      <rPr>
        <sz val="10"/>
        <rFont val="Arial MT"/>
        <family val="2"/>
      </rPr>
      <t>CARREGADEIRA DE PNEUS CAT - 924 H OU EQUIVALENTE</t>
    </r>
  </si>
  <si>
    <r>
      <rPr>
        <sz val="10"/>
        <rFont val="Arial MT"/>
        <family val="2"/>
      </rPr>
      <t>CARREGADEIRA DE PNEUS CAT - 950 H  OU EQUIVALENTE</t>
    </r>
  </si>
  <si>
    <r>
      <rPr>
        <sz val="10"/>
        <rFont val="Arial MT"/>
        <family val="2"/>
      </rPr>
      <t>ESCAVADEIRA HIDRÁULICA - 320DL OU EQUIVALENTE</t>
    </r>
  </si>
  <si>
    <r>
      <rPr>
        <sz val="10"/>
        <rFont val="Arial MT"/>
        <family val="2"/>
      </rPr>
      <t>ESCAVADEIRA HIDRÁULICA - CAT 323DL OU EQUIVALENTE</t>
    </r>
  </si>
  <si>
    <r>
      <rPr>
        <sz val="10"/>
        <rFont val="Arial MT"/>
        <family val="2"/>
      </rPr>
      <t>FRESADORA A FRIO - W 200 F OU EQUIVALENTE</t>
    </r>
  </si>
  <si>
    <r>
      <rPr>
        <sz val="10"/>
        <rFont val="Arial MT"/>
        <family val="2"/>
      </rPr>
      <t>MINI-CARREGADEIRA DE PNEUS COM FRESADORA</t>
    </r>
  </si>
  <si>
    <r>
      <rPr>
        <sz val="10"/>
        <rFont val="Arial MT"/>
        <family val="2"/>
      </rPr>
      <t>MINI-CARREGADEIRA DE PNEUS COM VASSOURA DE 1,8 m</t>
    </r>
  </si>
  <si>
    <r>
      <rPr>
        <sz val="10"/>
        <rFont val="Arial MT"/>
        <family val="2"/>
      </rPr>
      <t>MOTONIVELADORA - CAT 120K OU EQUIVALENTE</t>
    </r>
  </si>
  <si>
    <r>
      <rPr>
        <sz val="10"/>
        <rFont val="Arial MT"/>
        <family val="2"/>
      </rPr>
      <t>PERFURATRIZ HIDRÁULICA SOBRE ESTEIRAS PARA ESTACA RAIZ</t>
    </r>
  </si>
  <si>
    <r>
      <rPr>
        <sz val="10"/>
        <rFont val="Arial MT"/>
        <family val="2"/>
      </rPr>
      <t>PERFURATRIZ SOBRE ESTEIRAS - CRAWLER DRILL OU EQUIVALENTE</t>
    </r>
  </si>
  <si>
    <r>
      <rPr>
        <sz val="10"/>
        <rFont val="Arial MT"/>
        <family val="2"/>
      </rPr>
      <t>RECICLADORA DE PAVIMENTO À FRIO - CATERPILLAR RM-500 OU EQUIVALENTE</t>
    </r>
  </si>
  <si>
    <r>
      <rPr>
        <sz val="10"/>
        <rFont val="Arial MT"/>
        <family val="2"/>
      </rPr>
      <t>RETRO ESCAVADEIRA DE PNEUS - CATERPILLAR 416E  OU EQUIVALENTE</t>
    </r>
  </si>
  <si>
    <r>
      <rPr>
        <sz val="10"/>
        <rFont val="Arial MT"/>
        <family val="2"/>
      </rPr>
      <t>ROLO COMPACTADOR DE PNEUS AUTOPROPELIDO - 27 T</t>
    </r>
  </si>
  <si>
    <r>
      <rPr>
        <sz val="10"/>
        <rFont val="Arial MT"/>
        <family val="2"/>
      </rPr>
      <t>ROLO LISO TANDEN - 10 t</t>
    </r>
  </si>
  <si>
    <r>
      <rPr>
        <sz val="10"/>
        <rFont val="Arial MT"/>
        <family val="2"/>
      </rPr>
      <t>ROLO LISO VIBRATÓRIO AUTOPROPELIDO - CS533 E OU EQUIVALENTE</t>
    </r>
  </si>
  <si>
    <r>
      <rPr>
        <sz val="10"/>
        <rFont val="Arial MT"/>
        <family val="2"/>
      </rPr>
      <t>ROLO PÉ DE CARNEIRO AUTOPROPELIDO - CA 250 OU EQUIVALENTE</t>
    </r>
  </si>
  <si>
    <r>
      <rPr>
        <sz val="10"/>
        <rFont val="Arial MT"/>
        <family val="2"/>
      </rPr>
      <t>TANQUE DE ESTOCAGEM ASFALTO (30.000L)</t>
    </r>
  </si>
  <si>
    <r>
      <rPr>
        <sz val="10"/>
        <rFont val="Arial MT"/>
        <family val="2"/>
      </rPr>
      <t>TRATOR DE PNEUS AGRÍCOLA - MF 4292 OU EQUIVALENTE</t>
    </r>
  </si>
  <si>
    <r>
      <rPr>
        <sz val="10"/>
        <rFont val="Arial MT"/>
        <family val="2"/>
      </rPr>
      <t>TRATOR DE PNEUS COM ROÇADEIRA</t>
    </r>
  </si>
  <si>
    <r>
      <rPr>
        <sz val="10"/>
        <rFont val="Arial MT"/>
        <family val="2"/>
      </rPr>
      <t>TRATOR ESTEIRAS COM LÂMINA - CAT D8 OU EQUIVALENTE</t>
    </r>
  </si>
  <si>
    <r>
      <rPr>
        <sz val="10"/>
        <rFont val="Arial MT"/>
        <family val="2"/>
      </rPr>
      <t>TRATOR ESTEIRAS COM ESCARIFICADOR - CAT D8 OU EQUIVALENTE</t>
    </r>
  </si>
  <si>
    <r>
      <rPr>
        <sz val="10"/>
        <rFont val="Arial MT"/>
        <family val="2"/>
      </rPr>
      <t>TRATOR ESTEIRAS COM LAMINA - CAT D4 OU EQUIVALENTE</t>
    </r>
  </si>
  <si>
    <r>
      <rPr>
        <sz val="10"/>
        <rFont val="Arial MT"/>
        <family val="2"/>
      </rPr>
      <t>TRATOR ESTEIRAS COM LAMINA - CAT D6 OU EQUIVALENTE</t>
    </r>
  </si>
  <si>
    <r>
      <rPr>
        <sz val="10"/>
        <rFont val="Arial MT"/>
        <family val="2"/>
      </rPr>
      <t>USINA DE ASFALTO A QUENTE 80 t/h</t>
    </r>
  </si>
  <si>
    <r>
      <rPr>
        <sz val="10"/>
        <rFont val="Arial MT"/>
        <family val="2"/>
      </rPr>
      <t>USINA MISTURADORA DE SOLO 300 t/h</t>
    </r>
  </si>
  <si>
    <r>
      <rPr>
        <sz val="10"/>
        <rFont val="Arial MT"/>
        <family val="2"/>
      </rPr>
      <t>USINA PRÉ-MISTURADO A FRIO 60 t/h</t>
    </r>
  </si>
  <si>
    <r>
      <rPr>
        <sz val="10"/>
        <rFont val="Arial MT"/>
        <family val="2"/>
      </rPr>
      <t>VIBROACABADORA DE ASFALTO SOBRE ESTEIRAS</t>
    </r>
  </si>
  <si>
    <r>
      <rPr>
        <b/>
        <sz val="10"/>
        <rFont val="Arial"/>
        <family val="2"/>
      </rPr>
      <t>Sub Total de Equipamento (F) :</t>
    </r>
  </si>
  <si>
    <r>
      <rPr>
        <b/>
        <sz val="10"/>
        <rFont val="Arial"/>
        <family val="2"/>
      </rPr>
      <t>Mão de Obra</t>
    </r>
  </si>
  <si>
    <r>
      <rPr>
        <b/>
        <sz val="10"/>
        <rFont val="Arial"/>
        <family val="2"/>
      </rPr>
      <t xml:space="preserve">Percentual
</t>
    </r>
    <r>
      <rPr>
        <b/>
        <sz val="10"/>
        <rFont val="Arial"/>
        <family val="2"/>
      </rPr>
      <t>mobilizado (G)</t>
    </r>
  </si>
  <si>
    <r>
      <rPr>
        <b/>
        <sz val="10"/>
        <rFont val="Arial"/>
        <family val="2"/>
      </rPr>
      <t xml:space="preserve">Total de
</t>
    </r>
    <r>
      <rPr>
        <b/>
        <sz val="10"/>
        <rFont val="Arial"/>
        <family val="2"/>
      </rPr>
      <t>operários (I)</t>
    </r>
  </si>
  <si>
    <r>
      <rPr>
        <b/>
        <sz val="10"/>
        <rFont val="Arial"/>
        <family val="2"/>
      </rPr>
      <t>(H)</t>
    </r>
  </si>
  <si>
    <r>
      <rPr>
        <b/>
        <sz val="10"/>
        <rFont val="Arial"/>
        <family val="2"/>
      </rPr>
      <t>(GxHxI)</t>
    </r>
  </si>
  <si>
    <r>
      <rPr>
        <sz val="10"/>
        <rFont val="Arial MT"/>
        <family val="2"/>
      </rPr>
      <t>-</t>
    </r>
  </si>
  <si>
    <r>
      <rPr>
        <sz val="10"/>
        <rFont val="Arial MT"/>
        <family val="2"/>
      </rPr>
      <t>EFETIVO PESSOAL A SER MOBILIZADO</t>
    </r>
  </si>
  <si>
    <r>
      <rPr>
        <b/>
        <sz val="10"/>
        <rFont val="Arial"/>
        <family val="2"/>
      </rPr>
      <t>Sub Total de Mão de Obra (J) :</t>
    </r>
  </si>
  <si>
    <r>
      <rPr>
        <b/>
        <sz val="10"/>
        <rFont val="Arial"/>
        <family val="2"/>
      </rPr>
      <t>Custo por Mobilização (K=F+J) :</t>
    </r>
  </si>
  <si>
    <r>
      <rPr>
        <b/>
        <sz val="10"/>
        <rFont val="Arial"/>
        <family val="2"/>
      </rPr>
      <t>Preço por Mobilização (M=K+L) :</t>
    </r>
  </si>
  <si>
    <r>
      <rPr>
        <b/>
        <sz val="10"/>
        <rFont val="Arial"/>
        <family val="2"/>
      </rPr>
      <t>Total Mobilização / Desmobilização (2xM) :</t>
    </r>
  </si>
  <si>
    <t>GUINDASTE MÓVEL SOBRE PNEUS COM 6 EIXOS COM CAPACIDADE MÁXIMA DE 350T- 450 KW</t>
  </si>
  <si>
    <t>MOBILIZAÇÃO / DESMOBILIZAÇÃO</t>
  </si>
  <si>
    <r>
      <rPr>
        <b/>
        <sz val="8"/>
        <rFont val="Arial"/>
        <family val="2"/>
      </rPr>
      <t>DESCRIÇÃO</t>
    </r>
  </si>
  <si>
    <r>
      <rPr>
        <b/>
        <sz val="8"/>
        <rFont val="Arial"/>
        <family val="2"/>
      </rPr>
      <t>UNIDADE</t>
    </r>
  </si>
  <si>
    <r>
      <rPr>
        <b/>
        <sz val="8"/>
        <rFont val="Arial"/>
        <family val="2"/>
      </rPr>
      <t xml:space="preserve">CUSTO
</t>
    </r>
    <r>
      <rPr>
        <b/>
        <sz val="8"/>
        <rFont val="Arial"/>
        <family val="2"/>
      </rPr>
      <t>UNITÁRIO</t>
    </r>
  </si>
  <si>
    <r>
      <rPr>
        <b/>
        <sz val="8"/>
        <rFont val="Arial"/>
        <family val="2"/>
      </rPr>
      <t>FAIXA D2 (RESTAURAÇÃO)</t>
    </r>
  </si>
  <si>
    <r>
      <rPr>
        <b/>
        <sz val="8"/>
        <rFont val="Arial"/>
        <family val="2"/>
      </rPr>
      <t>QUANTIDADE</t>
    </r>
  </si>
  <si>
    <r>
      <rPr>
        <b/>
        <sz val="8"/>
        <rFont val="Arial"/>
        <family val="2"/>
      </rPr>
      <t>CUSTO TOTAL</t>
    </r>
  </si>
  <si>
    <r>
      <rPr>
        <b/>
        <sz val="8"/>
        <rFont val="Arial"/>
        <family val="2"/>
      </rPr>
      <t>DIVISÃO DE ENGENHARIA</t>
    </r>
  </si>
  <si>
    <r>
      <rPr>
        <sz val="8"/>
        <rFont val="Arial MT"/>
        <family val="2"/>
      </rPr>
      <t>Coordenador / Gestor de Contrato (Eng. Sênior)</t>
    </r>
  </si>
  <si>
    <r>
      <rPr>
        <sz val="8"/>
        <rFont val="Arial MT"/>
        <family val="2"/>
      </rPr>
      <t>mês</t>
    </r>
  </si>
  <si>
    <r>
      <rPr>
        <sz val="8"/>
        <rFont val="Arial MT"/>
        <family val="2"/>
      </rPr>
      <t>Gestor do Contrato (Eng. Pleno )</t>
    </r>
  </si>
  <si>
    <r>
      <rPr>
        <sz val="8"/>
        <rFont val="Arial MT"/>
        <family val="2"/>
      </rPr>
      <t>Engenheiro de Produção / Civil (Eng. Júnior)</t>
    </r>
  </si>
  <si>
    <r>
      <rPr>
        <sz val="8"/>
        <rFont val="Arial MT"/>
        <family val="2"/>
      </rPr>
      <t>Sala Técnica (Técnico Estradas)</t>
    </r>
  </si>
  <si>
    <r>
      <rPr>
        <sz val="8"/>
        <rFont val="Arial MT"/>
        <family val="2"/>
      </rPr>
      <t>Encarregado de Topografia / Topógrafo Chefe</t>
    </r>
  </si>
  <si>
    <r>
      <rPr>
        <sz val="8"/>
        <rFont val="Arial MT"/>
        <family val="2"/>
      </rPr>
      <t>Topógrafo</t>
    </r>
  </si>
  <si>
    <r>
      <rPr>
        <sz val="8"/>
        <rFont val="Arial MT"/>
        <family val="2"/>
      </rPr>
      <t>Auxiliar de Topografia</t>
    </r>
  </si>
  <si>
    <r>
      <rPr>
        <sz val="8"/>
        <rFont val="Arial MT"/>
        <family val="2"/>
      </rPr>
      <t>Laboratorista de Solos</t>
    </r>
  </si>
  <si>
    <r>
      <rPr>
        <sz val="8"/>
        <rFont val="Arial MT"/>
        <family val="2"/>
      </rPr>
      <t>Laboratorista de Betumes</t>
    </r>
  </si>
  <si>
    <r>
      <rPr>
        <sz val="8"/>
        <rFont val="Arial MT"/>
        <family val="2"/>
      </rPr>
      <t>Laboratorista de Concretos</t>
    </r>
  </si>
  <si>
    <r>
      <rPr>
        <sz val="8"/>
        <rFont val="Arial MT"/>
        <family val="2"/>
      </rPr>
      <t>Auxiliar de Laboratorista</t>
    </r>
  </si>
  <si>
    <r>
      <rPr>
        <b/>
        <sz val="8"/>
        <rFont val="Arial"/>
        <family val="2"/>
      </rPr>
      <t>DIVISÃO DE SEGURANÇA E MEDICINA DO TRABALHO</t>
    </r>
  </si>
  <si>
    <r>
      <rPr>
        <sz val="8"/>
        <rFont val="Arial MT"/>
        <family val="2"/>
      </rPr>
      <t>Engenheiro de Segurança do Trabalho</t>
    </r>
  </si>
  <si>
    <r>
      <rPr>
        <sz val="8"/>
        <rFont val="Arial MT"/>
        <family val="2"/>
      </rPr>
      <t>Médico de Segurança do Trabalho</t>
    </r>
  </si>
  <si>
    <r>
      <rPr>
        <sz val="8"/>
        <rFont val="Arial MT"/>
        <family val="2"/>
      </rPr>
      <t>Técnico de Segurança do Trabalho</t>
    </r>
  </si>
  <si>
    <r>
      <rPr>
        <b/>
        <sz val="8"/>
        <rFont val="Arial"/>
        <family val="2"/>
      </rPr>
      <t>DIVISÃO DE PRODUÇÃO</t>
    </r>
  </si>
  <si>
    <r>
      <rPr>
        <sz val="8"/>
        <rFont val="Arial MT"/>
        <family val="2"/>
      </rPr>
      <t>Encarregado Geral</t>
    </r>
  </si>
  <si>
    <r>
      <rPr>
        <sz val="8"/>
        <rFont val="Arial MT"/>
        <family val="2"/>
      </rPr>
      <t>Motorista</t>
    </r>
  </si>
  <si>
    <r>
      <rPr>
        <b/>
        <sz val="8"/>
        <rFont val="Arial"/>
        <family val="2"/>
      </rPr>
      <t>DIVISÃO ADMINISTRATIVA</t>
    </r>
  </si>
  <si>
    <r>
      <rPr>
        <sz val="8"/>
        <rFont val="Arial MT"/>
        <family val="2"/>
      </rPr>
      <t>Encarregado Administrativo</t>
    </r>
  </si>
  <si>
    <r>
      <rPr>
        <sz val="8"/>
        <rFont val="Arial MT"/>
        <family val="2"/>
      </rPr>
      <t>Auxiliar Administrativo</t>
    </r>
  </si>
  <si>
    <r>
      <rPr>
        <sz val="8"/>
        <rFont val="Arial MT"/>
        <family val="2"/>
      </rPr>
      <t>Almoxarife / Apontador / Comprador</t>
    </r>
  </si>
  <si>
    <r>
      <rPr>
        <sz val="8"/>
        <rFont val="Arial MT"/>
        <family val="2"/>
      </rPr>
      <t>Recepcionista / Telefonista</t>
    </r>
  </si>
  <si>
    <r>
      <rPr>
        <sz val="8"/>
        <rFont val="Arial MT"/>
        <family val="2"/>
      </rPr>
      <t>Vigia</t>
    </r>
  </si>
  <si>
    <r>
      <rPr>
        <b/>
        <sz val="8"/>
        <rFont val="Arial"/>
        <family val="2"/>
      </rPr>
      <t>MANUTENÇÃO DO CANTEIRO</t>
    </r>
  </si>
  <si>
    <r>
      <rPr>
        <sz val="8"/>
        <rFont val="Arial MT"/>
        <family val="2"/>
      </rPr>
      <t>Material de Expediente / Cópias / Impressões</t>
    </r>
  </si>
  <si>
    <r>
      <rPr>
        <sz val="8"/>
        <rFont val="Arial MT"/>
        <family val="2"/>
      </rPr>
      <t>Medicamentos</t>
    </r>
  </si>
  <si>
    <r>
      <rPr>
        <b/>
        <sz val="8"/>
        <rFont val="Arial"/>
        <family val="2"/>
      </rPr>
      <t>VEÍCULOS DA ADMINISTRAÇÃO</t>
    </r>
  </si>
  <si>
    <r>
      <rPr>
        <sz val="8"/>
        <rFont val="Arial MT"/>
        <family val="2"/>
      </rPr>
      <t>Veículos Leves (incluso combustível)</t>
    </r>
  </si>
  <si>
    <r>
      <rPr>
        <b/>
        <sz val="8"/>
        <rFont val="Arial"/>
        <family val="2"/>
      </rPr>
      <t>EQUIPAMENTOS INDIRETOS</t>
    </r>
  </si>
  <si>
    <r>
      <rPr>
        <sz val="8"/>
        <rFont val="Arial MT"/>
        <family val="2"/>
      </rPr>
      <t>Equipamentos de Laboratório de Solos</t>
    </r>
  </si>
  <si>
    <r>
      <rPr>
        <sz val="8"/>
        <rFont val="Arial MT"/>
        <family val="2"/>
      </rPr>
      <t>Equipamentos de Laboratório de Asfalto</t>
    </r>
  </si>
  <si>
    <r>
      <rPr>
        <sz val="8"/>
        <rFont val="Arial MT"/>
        <family val="2"/>
      </rPr>
      <t>Equipamentos de Laboratório de Concreto</t>
    </r>
  </si>
  <si>
    <r>
      <rPr>
        <sz val="8"/>
        <rFont val="Arial MT"/>
        <family val="2"/>
      </rPr>
      <t>Instrumental de Topografia</t>
    </r>
  </si>
  <si>
    <r>
      <rPr>
        <sz val="8"/>
        <rFont val="Arial MT"/>
        <family val="2"/>
      </rPr>
      <t>Caminhão Munck</t>
    </r>
  </si>
  <si>
    <r>
      <rPr>
        <sz val="8"/>
        <rFont val="Arial MT"/>
        <family val="2"/>
      </rPr>
      <t>Caminhão prancha</t>
    </r>
  </si>
  <si>
    <r>
      <rPr>
        <b/>
        <sz val="8"/>
        <rFont val="Arial"/>
        <family val="2"/>
      </rPr>
      <t>SERVIÇOS TÉCNICOS</t>
    </r>
  </si>
  <si>
    <r>
      <rPr>
        <sz val="8"/>
        <rFont val="Arial MT"/>
        <family val="2"/>
      </rPr>
      <t>PCMSO (NR-7)</t>
    </r>
  </si>
  <si>
    <r>
      <rPr>
        <sz val="8"/>
        <rFont val="Arial MT"/>
        <family val="2"/>
      </rPr>
      <t>unidade</t>
    </r>
  </si>
  <si>
    <r>
      <rPr>
        <sz val="8"/>
        <rFont val="Arial MT"/>
        <family val="2"/>
      </rPr>
      <t>PGR (NR-18)</t>
    </r>
  </si>
  <si>
    <r>
      <rPr>
        <sz val="8"/>
        <rFont val="Arial MT"/>
        <family val="2"/>
      </rPr>
      <t>Exames Admissionais/Demissionais</t>
    </r>
  </si>
  <si>
    <r>
      <rPr>
        <sz val="8"/>
        <rFont val="Arial MT"/>
        <family val="2"/>
      </rPr>
      <t>Anotação de Responsabilidade Técnica</t>
    </r>
  </si>
  <si>
    <r>
      <rPr>
        <sz val="8"/>
        <rFont val="Arial MT"/>
        <family val="2"/>
      </rPr>
      <t>Ensaios Tecnológicos</t>
    </r>
  </si>
  <si>
    <r>
      <rPr>
        <b/>
        <sz val="8"/>
        <rFont val="Arial"/>
        <family val="2"/>
      </rPr>
      <t>PREÇO TOTAL</t>
    </r>
  </si>
  <si>
    <r>
      <rPr>
        <b/>
        <sz val="8"/>
        <rFont val="Arial"/>
        <family val="2"/>
      </rPr>
      <t>TERRAPLANAGEM E PREPARAÇÃO DO TERRENO</t>
    </r>
  </si>
  <si>
    <r>
      <rPr>
        <sz val="8"/>
        <rFont val="Arial MT"/>
        <family val="2"/>
      </rPr>
      <t>m²</t>
    </r>
  </si>
  <si>
    <r>
      <rPr>
        <sz val="8"/>
        <rFont val="Arial MT"/>
        <family val="2"/>
      </rPr>
      <t>m³</t>
    </r>
  </si>
  <si>
    <r>
      <rPr>
        <sz val="8"/>
        <rFont val="Arial MT"/>
        <family val="2"/>
      </rPr>
      <t>Compactação a 95% do proctor normal</t>
    </r>
  </si>
  <si>
    <r>
      <rPr>
        <b/>
        <sz val="8"/>
        <rFont val="Arial"/>
        <family val="2"/>
      </rPr>
      <t>INSTALAÇÕES PROVISÓRIAS</t>
    </r>
  </si>
  <si>
    <r>
      <rPr>
        <sz val="8"/>
        <rFont val="Arial MT"/>
        <family val="2"/>
      </rPr>
      <t>Escritório de campo</t>
    </r>
  </si>
  <si>
    <r>
      <rPr>
        <sz val="8"/>
        <rFont val="Arial MT"/>
        <family val="2"/>
      </rPr>
      <t>Escritório urbano (cidade)</t>
    </r>
  </si>
  <si>
    <r>
      <rPr>
        <sz val="8"/>
        <rFont val="Arial MT"/>
        <family val="2"/>
      </rPr>
      <t>Alojamento (pessoal operacional)</t>
    </r>
  </si>
  <si>
    <r>
      <rPr>
        <sz val="8"/>
        <rFont val="Arial MT"/>
        <family val="2"/>
      </rPr>
      <t>Alojamento (pessoal técnico administrativo)</t>
    </r>
  </si>
  <si>
    <r>
      <rPr>
        <sz val="8"/>
        <rFont val="Arial MT"/>
        <family val="2"/>
      </rPr>
      <t>Alojamento (engenheiros)</t>
    </r>
  </si>
  <si>
    <r>
      <rPr>
        <sz val="8"/>
        <rFont val="Arial MT"/>
        <family val="2"/>
      </rPr>
      <t>Mobiliário de Escritório (inclusive eq. de informática)</t>
    </r>
  </si>
  <si>
    <r>
      <rPr>
        <sz val="8"/>
        <rFont val="Arial MT"/>
        <family val="2"/>
      </rPr>
      <t>Mobiliário de Alojamento (engenheiros)</t>
    </r>
  </si>
  <si>
    <r>
      <rPr>
        <sz val="8"/>
        <rFont val="Arial MT"/>
        <family val="2"/>
      </rPr>
      <t>Almoxarifado</t>
    </r>
  </si>
  <si>
    <r>
      <rPr>
        <sz val="8"/>
        <rFont val="Arial MT"/>
        <family val="2"/>
      </rPr>
      <t>Galpões para Carpintaria e Armação (cobertura)</t>
    </r>
  </si>
  <si>
    <r>
      <rPr>
        <sz val="8"/>
        <rFont val="Arial MT"/>
        <family val="2"/>
      </rPr>
      <t>Oficinas</t>
    </r>
  </si>
  <si>
    <r>
      <rPr>
        <sz val="8"/>
        <rFont val="Arial MT"/>
        <family val="2"/>
      </rPr>
      <t>Fiscalização</t>
    </r>
  </si>
  <si>
    <r>
      <rPr>
        <sz val="8"/>
        <rFont val="Arial MT"/>
        <family val="2"/>
      </rPr>
      <t>Posto de Combustível e Lubrificação</t>
    </r>
  </si>
  <si>
    <r>
      <rPr>
        <sz val="8"/>
        <rFont val="Arial MT"/>
        <family val="2"/>
      </rPr>
      <t>Vestiários</t>
    </r>
  </si>
  <si>
    <r>
      <rPr>
        <sz val="8"/>
        <rFont val="Arial MT"/>
        <family val="2"/>
      </rPr>
      <t>Sanitários</t>
    </r>
  </si>
  <si>
    <r>
      <rPr>
        <sz val="8"/>
        <rFont val="Arial MT"/>
        <family val="2"/>
      </rPr>
      <t>Banheiros Químicos (com lavatório)</t>
    </r>
  </si>
  <si>
    <r>
      <rPr>
        <sz val="8"/>
        <rFont val="Arial MT"/>
        <family val="2"/>
      </rPr>
      <t>un</t>
    </r>
  </si>
  <si>
    <r>
      <rPr>
        <sz val="8"/>
        <rFont val="Arial MT"/>
        <family val="2"/>
      </rPr>
      <t>Refeitório (para os administrativos)</t>
    </r>
  </si>
  <si>
    <r>
      <rPr>
        <sz val="8"/>
        <rFont val="Arial MT"/>
        <family val="2"/>
      </rPr>
      <t>Tenda 6x6 m (refeitório)</t>
    </r>
  </si>
  <si>
    <r>
      <rPr>
        <sz val="8"/>
        <rFont val="Arial MT"/>
        <family val="2"/>
      </rPr>
      <t>Mesa com 4 cadeiras (refeitório – tendas)</t>
    </r>
  </si>
  <si>
    <r>
      <rPr>
        <sz val="8"/>
        <rFont val="Arial MT"/>
        <family val="2"/>
      </rPr>
      <t>cj</t>
    </r>
  </si>
  <si>
    <r>
      <rPr>
        <sz val="8"/>
        <rFont val="Arial MT"/>
        <family val="2"/>
      </rPr>
      <t>Laboratório (espaço físico)</t>
    </r>
  </si>
  <si>
    <r>
      <rPr>
        <sz val="8"/>
        <rFont val="Arial MT"/>
        <family val="2"/>
      </rPr>
      <t>Ambulatório</t>
    </r>
  </si>
  <si>
    <r>
      <rPr>
        <sz val="8"/>
        <rFont val="Arial MT"/>
        <family val="2"/>
      </rPr>
      <t>Cercas</t>
    </r>
  </si>
  <si>
    <r>
      <rPr>
        <sz val="8"/>
        <rFont val="Arial MT"/>
        <family val="2"/>
      </rPr>
      <t>m</t>
    </r>
  </si>
  <si>
    <r>
      <rPr>
        <sz val="8"/>
        <rFont val="Arial MT"/>
        <family val="2"/>
      </rPr>
      <t>Guaritas</t>
    </r>
  </si>
  <si>
    <r>
      <rPr>
        <sz val="8"/>
        <rFont val="Arial MT"/>
        <family val="2"/>
      </rPr>
      <t>Fossa Séptica</t>
    </r>
  </si>
  <si>
    <r>
      <rPr>
        <sz val="8"/>
        <rFont val="Arial MT"/>
        <family val="2"/>
      </rPr>
      <t>Sumidouro</t>
    </r>
  </si>
  <si>
    <r>
      <rPr>
        <sz val="8"/>
        <rFont val="Arial MT"/>
        <family val="2"/>
      </rPr>
      <t>Poço Artesiano</t>
    </r>
  </si>
  <si>
    <r>
      <rPr>
        <sz val="8"/>
        <rFont val="Arial MT"/>
        <family val="2"/>
      </rPr>
      <t>Placa de Obra</t>
    </r>
  </si>
  <si>
    <r>
      <rPr>
        <sz val="8"/>
        <rFont val="Arial MT"/>
        <family val="2"/>
      </rPr>
      <t>Obelisco de Inauguração (com placa)</t>
    </r>
  </si>
  <si>
    <r>
      <rPr>
        <sz val="8"/>
        <rFont val="Arial MT"/>
        <family val="2"/>
      </rPr>
      <t>Instalações Provisórias de Água / Esgoto</t>
    </r>
  </si>
  <si>
    <r>
      <rPr>
        <sz val="8"/>
        <rFont val="Arial MT"/>
        <family val="2"/>
      </rPr>
      <t>Instalações Provisórias de Energia Elétrica</t>
    </r>
  </si>
  <si>
    <r>
      <rPr>
        <sz val="8"/>
        <rFont val="Arial MT"/>
        <family val="2"/>
      </rPr>
      <t>Consumo de Energia (canteiro / alojamento)</t>
    </r>
  </si>
  <si>
    <r>
      <rPr>
        <sz val="8"/>
        <rFont val="Arial MT"/>
        <family val="2"/>
      </rPr>
      <t>KWH/mês</t>
    </r>
  </si>
  <si>
    <r>
      <rPr>
        <sz val="8"/>
        <rFont val="Arial MT"/>
        <family val="2"/>
      </rPr>
      <t>Consumo de Telefone/Internet (canteiro)</t>
    </r>
  </si>
  <si>
    <r>
      <rPr>
        <sz val="8"/>
        <rFont val="Arial MT"/>
        <family val="2"/>
      </rPr>
      <t>Materiais de Limpeza (alojamento eng / escrit. urb)</t>
    </r>
  </si>
  <si>
    <r>
      <rPr>
        <sz val="8"/>
        <rFont val="Arial MT"/>
        <family val="2"/>
      </rPr>
      <t>Faxineira (alojamento eng / escritório urb)</t>
    </r>
  </si>
  <si>
    <r>
      <rPr>
        <b/>
        <sz val="8"/>
        <rFont val="Arial"/>
        <family val="2"/>
      </rPr>
      <t>INSTALAÇÕES INDUSTRIAIS</t>
    </r>
  </si>
  <si>
    <r>
      <rPr>
        <sz val="8"/>
        <rFont val="Arial MT"/>
        <family val="2"/>
      </rPr>
      <t>Instalação de Usina de Asfalto</t>
    </r>
  </si>
  <si>
    <r>
      <rPr>
        <sz val="8"/>
        <rFont val="Arial MT"/>
        <family val="2"/>
      </rPr>
      <t>Instalação de Usina de Solos</t>
    </r>
  </si>
  <si>
    <r>
      <rPr>
        <sz val="8"/>
        <rFont val="Arial MT"/>
        <family val="2"/>
      </rPr>
      <t>Paiol de explosivos</t>
    </r>
  </si>
  <si>
    <r>
      <rPr>
        <b/>
        <sz val="8"/>
        <rFont val="Arial"/>
        <family val="2"/>
      </rPr>
      <t>SISTEMA VIÁRIO INTERNO E CAMINHOS DE SERVIÇO</t>
    </r>
  </si>
  <si>
    <r>
      <rPr>
        <sz val="8"/>
        <rFont val="Arial MT"/>
        <family val="2"/>
      </rPr>
      <t>Sinalização - placas da obra (caminhos de serviço)</t>
    </r>
  </si>
  <si>
    <r>
      <rPr>
        <sz val="8"/>
        <rFont val="Arial MT"/>
        <family val="2"/>
      </rPr>
      <t>Sinalização - placas da obra (desvio / pare siga)</t>
    </r>
  </si>
  <si>
    <r>
      <rPr>
        <sz val="8"/>
        <rFont val="Arial MT"/>
        <family val="2"/>
      </rPr>
      <t>Cone de sinalização (desvio)</t>
    </r>
  </si>
  <si>
    <r>
      <rPr>
        <sz val="8"/>
        <rFont val="Arial MT"/>
        <family val="2"/>
      </rPr>
      <t>Tambor de 200L (desvio)</t>
    </r>
  </si>
  <si>
    <r>
      <rPr>
        <sz val="8"/>
        <rFont val="Arial MT"/>
        <family val="2"/>
      </rPr>
      <t>Caminhão Pipa (desvio / caminho de serviço)</t>
    </r>
  </si>
  <si>
    <r>
      <rPr>
        <sz val="8"/>
        <rFont val="Arial MT"/>
        <family val="2"/>
      </rPr>
      <t>h</t>
    </r>
  </si>
  <si>
    <r>
      <rPr>
        <sz val="8"/>
        <rFont val="Arial MT"/>
        <family val="2"/>
      </rPr>
      <t>Servente para sinalização (desvio)</t>
    </r>
  </si>
  <si>
    <r>
      <rPr>
        <b/>
        <sz val="8"/>
        <rFont val="Arial"/>
        <family val="2"/>
      </rPr>
      <t>LICENÇAS AMBIENTAIS</t>
    </r>
  </si>
  <si>
    <r>
      <rPr>
        <sz val="8"/>
        <rFont val="Arial MT"/>
        <family val="2"/>
      </rPr>
      <t>Licença de Instalação de Canteiro (fixo)</t>
    </r>
  </si>
  <si>
    <r>
      <rPr>
        <sz val="8"/>
        <rFont val="Arial MT"/>
        <family val="2"/>
      </rPr>
      <t>Licença de Instalação de Canteiro (área)</t>
    </r>
  </si>
  <si>
    <r>
      <rPr>
        <sz val="8"/>
        <rFont val="Arial MT"/>
        <family val="2"/>
      </rPr>
      <t>m2</t>
    </r>
  </si>
  <si>
    <r>
      <rPr>
        <sz val="8"/>
        <rFont val="Arial MT"/>
        <family val="2"/>
      </rPr>
      <t>Licença de Usina</t>
    </r>
  </si>
  <si>
    <r>
      <rPr>
        <sz val="8"/>
        <rFont val="Arial MT"/>
        <family val="2"/>
      </rPr>
      <t>Licença de Cascalheira</t>
    </r>
  </si>
  <si>
    <r>
      <rPr>
        <sz val="8"/>
        <rFont val="Arial MT"/>
        <family val="2"/>
      </rPr>
      <t>Licença de Outorga de Uso da Água</t>
    </r>
  </si>
  <si>
    <t>Desmatamento, destocamento e limpeza - árvores com diâmetros menores de 15 cm</t>
  </si>
  <si>
    <t>Escav.,  carga  e  transp.  1ª  categ.  c/  carregadeira  p/ pequenos movimentos de terra - (dt: 201 a 400m)</t>
  </si>
  <si>
    <t>1 -  BDI ESTIMADO PARA OBRAS RODOVIÁRIAS</t>
  </si>
  <si>
    <t>Tributos</t>
  </si>
  <si>
    <t>SEM DESONERAÇÃO</t>
  </si>
  <si>
    <t>2 -  BDI REDUZIDO ESTIMADO PARA OBRAS RODOVIÁRIAS</t>
  </si>
  <si>
    <r>
      <rPr>
        <sz val="6.5"/>
        <rFont val="Arial MT"/>
        <family val="2"/>
      </rPr>
      <t>(1) Percentuais definifdos pelo TAG TCE / GOINFRA</t>
    </r>
  </si>
  <si>
    <r>
      <rPr>
        <sz val="6.5"/>
        <rFont val="Arial MT"/>
        <family val="2"/>
      </rPr>
      <t>(2) Alíquota definida por lei (lucro presumido).</t>
    </r>
  </si>
  <si>
    <r>
      <rPr>
        <sz val="6.5"/>
        <rFont val="Arial MT"/>
        <family val="2"/>
      </rPr>
      <t>(3) Alíquota definida pela lei 13.161/15 (CPRB – contribuição previdenciária sobre a receita bruta).</t>
    </r>
  </si>
  <si>
    <r>
      <rPr>
        <sz val="6.5"/>
        <rFont val="Arial MT"/>
        <family val="2"/>
      </rPr>
      <t>(*) A fórmula para estipulação da  taxa de  BDI estimado adotado é a mesma que foi aplicada para a obtenção das tabelas contidas no Acórdão nº 2.622/2013 – TCU – Plenário</t>
    </r>
  </si>
  <si>
    <r>
      <rPr>
        <sz val="6.5"/>
        <rFont val="Arial MT"/>
        <family val="2"/>
      </rPr>
      <t>onde:</t>
    </r>
  </si>
  <si>
    <r>
      <rPr>
        <sz val="6.5"/>
        <rFont val="Arial MT"/>
        <family val="2"/>
      </rPr>
      <t>AC = taxa de administração central</t>
    </r>
  </si>
  <si>
    <r>
      <rPr>
        <sz val="6.5"/>
        <rFont val="Arial MT"/>
        <family val="2"/>
      </rPr>
      <t>S = taxa de seguros</t>
    </r>
  </si>
  <si>
    <r>
      <rPr>
        <sz val="6.5"/>
        <rFont val="Arial MT"/>
        <family val="2"/>
      </rPr>
      <t>R = taxa de riscos</t>
    </r>
  </si>
  <si>
    <r>
      <rPr>
        <sz val="6.5"/>
        <rFont val="Arial MT"/>
        <family val="2"/>
      </rPr>
      <t>G = taxa de garantias</t>
    </r>
  </si>
  <si>
    <r>
      <rPr>
        <sz val="6.5"/>
        <rFont val="Arial MT"/>
        <family val="2"/>
      </rPr>
      <t>DF = taxa de despesas financeiras</t>
    </r>
  </si>
  <si>
    <r>
      <rPr>
        <sz val="6.5"/>
        <rFont val="Arial MT"/>
        <family val="2"/>
      </rPr>
      <t>L = taxa de lucro/remuneração</t>
    </r>
  </si>
  <si>
    <r>
      <rPr>
        <sz val="6.5"/>
        <rFont val="Arial MT"/>
        <family val="2"/>
      </rPr>
      <t>I = taxa de incidência de impostos (PIS, COFINS, CPRB e ISS)</t>
    </r>
  </si>
  <si>
    <r>
      <rPr>
        <b/>
        <vertAlign val="subscript"/>
        <sz val="10"/>
        <rFont val="Arial"/>
        <family val="2"/>
      </rPr>
      <t xml:space="preserve">ISS </t>
    </r>
    <r>
      <rPr>
        <sz val="10"/>
        <rFont val="Arial MT"/>
        <family val="2"/>
      </rPr>
      <t>(1)</t>
    </r>
  </si>
  <si>
    <r>
      <rPr>
        <b/>
        <vertAlign val="subscript"/>
        <sz val="10"/>
        <rFont val="Arial"/>
        <family val="2"/>
      </rPr>
      <t xml:space="preserve">PIS </t>
    </r>
    <r>
      <rPr>
        <sz val="10"/>
        <rFont val="Arial MT"/>
        <family val="2"/>
      </rPr>
      <t>(2)</t>
    </r>
  </si>
  <si>
    <r>
      <rPr>
        <b/>
        <sz val="10"/>
        <rFont val="Arial"/>
        <family val="2"/>
      </rPr>
      <t xml:space="preserve">COFINS </t>
    </r>
    <r>
      <rPr>
        <vertAlign val="superscript"/>
        <sz val="10"/>
        <rFont val="Arial MT"/>
        <family val="2"/>
      </rPr>
      <t>(2)</t>
    </r>
  </si>
  <si>
    <r>
      <rPr>
        <b/>
        <sz val="10"/>
        <rFont val="Arial"/>
        <family val="2"/>
      </rPr>
      <t xml:space="preserve">CPRB </t>
    </r>
    <r>
      <rPr>
        <vertAlign val="superscript"/>
        <sz val="10"/>
        <rFont val="Arial MT"/>
        <family val="2"/>
      </rPr>
      <t>(3)</t>
    </r>
  </si>
  <si>
    <r>
      <rPr>
        <b/>
        <sz val="10"/>
        <rFont val="Arial"/>
        <family val="2"/>
      </rPr>
      <t xml:space="preserve">Administração
central </t>
    </r>
    <r>
      <rPr>
        <vertAlign val="superscript"/>
        <sz val="10"/>
        <rFont val="Arial MT"/>
        <family val="2"/>
      </rPr>
      <t>(1)</t>
    </r>
  </si>
  <si>
    <r>
      <rPr>
        <b/>
        <sz val="10"/>
        <rFont val="Arial"/>
        <family val="2"/>
      </rPr>
      <t xml:space="preserve">Lucro </t>
    </r>
    <r>
      <rPr>
        <vertAlign val="superscript"/>
        <sz val="10"/>
        <rFont val="Arial MT"/>
        <family val="2"/>
      </rPr>
      <t>(1)</t>
    </r>
  </si>
  <si>
    <r>
      <rPr>
        <b/>
        <sz val="10"/>
        <rFont val="Arial"/>
        <family val="2"/>
      </rPr>
      <t xml:space="preserve">Despesas
financeiras </t>
    </r>
    <r>
      <rPr>
        <vertAlign val="superscript"/>
        <sz val="10"/>
        <rFont val="Arial MT"/>
        <family val="2"/>
      </rPr>
      <t>(1)</t>
    </r>
  </si>
  <si>
    <r>
      <rPr>
        <b/>
        <sz val="10"/>
        <rFont val="Arial"/>
        <family val="2"/>
      </rPr>
      <t xml:space="preserve">Seguros +
Garantias </t>
    </r>
    <r>
      <rPr>
        <vertAlign val="superscript"/>
        <sz val="10"/>
        <rFont val="Arial MT"/>
        <family val="2"/>
      </rPr>
      <t>(1)</t>
    </r>
  </si>
  <si>
    <r>
      <rPr>
        <b/>
        <sz val="10"/>
        <rFont val="Arial"/>
        <family val="2"/>
      </rPr>
      <t xml:space="preserve">Riscos </t>
    </r>
    <r>
      <rPr>
        <vertAlign val="superscript"/>
        <sz val="10"/>
        <rFont val="Arial MT"/>
        <family val="2"/>
      </rPr>
      <t>(1)</t>
    </r>
  </si>
  <si>
    <r>
      <rPr>
        <b/>
        <sz val="10"/>
        <rFont val="Arial"/>
        <family val="2"/>
      </rPr>
      <t xml:space="preserve">Resultado </t>
    </r>
    <r>
      <rPr>
        <b/>
        <vertAlign val="superscript"/>
        <sz val="10"/>
        <rFont val="Arial"/>
        <family val="2"/>
      </rPr>
      <t>(</t>
    </r>
    <r>
      <rPr>
        <vertAlign val="superscript"/>
        <sz val="10"/>
        <rFont val="Arial MT"/>
        <family val="2"/>
      </rPr>
      <t>*</t>
    </r>
    <r>
      <rPr>
        <b/>
        <vertAlign val="superscript"/>
        <sz val="10"/>
        <rFont val="Arial"/>
        <family val="2"/>
      </rPr>
      <t>)</t>
    </r>
  </si>
  <si>
    <t>-</t>
  </si>
  <si>
    <t>BDI (23,55%)</t>
  </si>
  <si>
    <t>BDI 23,55% (L)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</si>
</sst>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#0.00"/>
    <numFmt numFmtId="166" formatCode="###,##0.000"/>
    <numFmt numFmtId="167" formatCode="###,##0.00"/>
    <numFmt numFmtId="168" formatCode="##0.000"/>
    <numFmt numFmtId="169" formatCode="##,##0.00"/>
    <numFmt numFmtId="170" formatCode="##,##0.000"/>
    <numFmt numFmtId="171" formatCode="#,##0.000"/>
    <numFmt numFmtId="172" formatCode="#0.000"/>
    <numFmt numFmtId="173" formatCode="#,###,##0.00"/>
    <numFmt numFmtId="174" formatCode="##,###,##0.00"/>
    <numFmt numFmtId="175" formatCode="#,###,##0.000"/>
    <numFmt numFmtId="176" formatCode="0.000"/>
    <numFmt numFmtId="177" formatCode="###,###,##0.00"/>
    <numFmt numFmtId="178" formatCode="#0.0000"/>
    <numFmt numFmtId="179" formatCode="&quot;R$&quot;\ #,##0.00"/>
  </numFmts>
  <fonts count="31">
    <font>
      <sz val="10"/>
      <name val="Arial"/>
    </font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color indexed="8"/>
      <name val="Arial"/>
    </font>
    <font>
      <sz val="8"/>
      <color indexed="8"/>
      <name val="Arial"/>
    </font>
    <font>
      <b/>
      <sz val="7"/>
      <color indexed="8"/>
      <name val="Arial"/>
    </font>
    <font>
      <sz val="8"/>
      <color rgb="FFFF0000"/>
      <name val="Arial"/>
      <family val="2"/>
    </font>
    <font>
      <sz val="5"/>
      <name val="Arial MT"/>
    </font>
    <font>
      <sz val="5"/>
      <name val="Arial MT"/>
      <family val="2"/>
    </font>
    <font>
      <b/>
      <sz val="10"/>
      <name val="Arial"/>
      <family val="2"/>
    </font>
    <font>
      <b/>
      <sz val="8"/>
      <name val="Arial"/>
      <family val="2"/>
    </font>
    <font>
      <b/>
      <vertAlign val="subscript"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 MT"/>
    </font>
    <font>
      <sz val="8"/>
      <name val="Arial MT"/>
      <family val="2"/>
    </font>
    <font>
      <sz val="8"/>
      <color rgb="FF000000"/>
      <name val="Arial MT"/>
      <family val="2"/>
    </font>
    <font>
      <sz val="10"/>
      <color rgb="FF000000"/>
      <name val="Arial MT"/>
      <family val="2"/>
    </font>
    <font>
      <sz val="10"/>
      <name val="Arial MT"/>
    </font>
    <font>
      <sz val="10"/>
      <name val="Arial MT"/>
      <family val="2"/>
    </font>
    <font>
      <sz val="10"/>
      <color rgb="FF006FC0"/>
      <name val="Arial MT"/>
      <family val="2"/>
    </font>
    <font>
      <b/>
      <sz val="10"/>
      <color rgb="FF000000"/>
      <name val="Arial"/>
      <family val="2"/>
    </font>
    <font>
      <b/>
      <sz val="14"/>
      <name val="Arial"/>
      <family val="2"/>
    </font>
    <font>
      <sz val="6.5"/>
      <name val="Arial MT"/>
    </font>
    <font>
      <sz val="6.5"/>
      <name val="Arial MT"/>
      <family val="2"/>
    </font>
    <font>
      <vertAlign val="superscript"/>
      <sz val="10"/>
      <name val="Arial MT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DDDDDD"/>
      </patternFill>
    </fill>
  </fills>
  <borders count="37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9" fontId="1" fillId="0" borderId="0" applyNumberFormat="0" applyFont="0" applyFill="0" applyBorder="0" applyAlignment="0" applyProtection="0"/>
    <xf numFmtId="43" fontId="1" fillId="0" borderId="0" applyFont="0" applyFill="0" applyBorder="0" applyAlignment="0" applyProtection="0"/>
  </cellStyleXfs>
  <cellXfs count="242">
    <xf numFmtId="0" fontId="0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/>
    <xf numFmtId="0" fontId="5" fillId="2" borderId="0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4" fontId="4" fillId="3" borderId="1" xfId="0" applyNumberFormat="1" applyFont="1" applyFill="1" applyBorder="1" applyAlignment="1">
      <alignment vertical="top" wrapText="1"/>
    </xf>
    <xf numFmtId="174" fontId="4" fillId="3" borderId="2" xfId="0" applyNumberFormat="1" applyFont="1" applyFill="1" applyBorder="1" applyAlignment="1">
      <alignment vertical="top" wrapText="1"/>
    </xf>
    <xf numFmtId="174" fontId="4" fillId="3" borderId="3" xfId="0" applyNumberFormat="1" applyFont="1" applyFill="1" applyBorder="1" applyAlignment="1">
      <alignment vertical="top" wrapText="1"/>
    </xf>
    <xf numFmtId="179" fontId="11" fillId="0" borderId="10" xfId="0" applyNumberFormat="1" applyFont="1" applyBorder="1" applyAlignment="1">
      <alignment horizontal="center" vertical="center" wrapText="1"/>
    </xf>
    <xf numFmtId="179" fontId="11" fillId="0" borderId="11" xfId="0" applyNumberFormat="1" applyFont="1" applyBorder="1" applyAlignment="1">
      <alignment horizontal="center" vertical="center" wrapText="1"/>
    </xf>
    <xf numFmtId="179" fontId="3" fillId="0" borderId="12" xfId="0" applyNumberFormat="1" applyFont="1" applyBorder="1" applyAlignment="1">
      <alignment horizontal="center" vertical="center" wrapText="1"/>
    </xf>
    <xf numFmtId="10" fontId="14" fillId="0" borderId="10" xfId="0" applyNumberFormat="1" applyFont="1" applyBorder="1" applyAlignment="1">
      <alignment horizontal="center" vertical="center" shrinkToFit="1"/>
    </xf>
    <xf numFmtId="179" fontId="3" fillId="5" borderId="10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79" fontId="15" fillId="5" borderId="11" xfId="0" applyNumberFormat="1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10" fontId="17" fillId="0" borderId="12" xfId="0" applyNumberFormat="1" applyFont="1" applyBorder="1" applyAlignment="1">
      <alignment horizontal="center" vertical="center" shrinkToFit="1"/>
    </xf>
    <xf numFmtId="0" fontId="15" fillId="0" borderId="12" xfId="0" applyFont="1" applyBorder="1" applyAlignment="1">
      <alignment vertical="center" wrapText="1"/>
    </xf>
    <xf numFmtId="0" fontId="10" fillId="6" borderId="11" xfId="0" applyFont="1" applyFill="1" applyBorder="1" applyAlignment="1">
      <alignment horizontal="center" vertical="top" wrapText="1"/>
    </xf>
    <xf numFmtId="0" fontId="10" fillId="6" borderId="12" xfId="0" applyFont="1" applyFill="1" applyBorder="1" applyAlignment="1">
      <alignment horizontal="center" vertical="top" wrapText="1"/>
    </xf>
    <xf numFmtId="1" fontId="18" fillId="0" borderId="10" xfId="0" applyNumberFormat="1" applyFont="1" applyBorder="1" applyAlignment="1">
      <alignment horizontal="center" vertical="top" shrinkToFit="1"/>
    </xf>
    <xf numFmtId="0" fontId="19" fillId="0" borderId="10" xfId="0" applyFont="1" applyBorder="1" applyAlignment="1">
      <alignment horizontal="left" vertical="top" wrapText="1"/>
    </xf>
    <xf numFmtId="2" fontId="18" fillId="0" borderId="10" xfId="0" applyNumberFormat="1" applyFont="1" applyBorder="1" applyAlignment="1">
      <alignment horizontal="center" vertical="top" shrinkToFit="1"/>
    </xf>
    <xf numFmtId="1" fontId="21" fillId="0" borderId="10" xfId="0" applyNumberFormat="1" applyFont="1" applyBorder="1" applyAlignment="1">
      <alignment horizontal="center" vertical="top" shrinkToFit="1"/>
    </xf>
    <xf numFmtId="4" fontId="18" fillId="0" borderId="10" xfId="0" applyNumberFormat="1" applyFont="1" applyBorder="1" applyAlignment="1">
      <alignment horizontal="right" vertical="top" shrinkToFit="1"/>
    </xf>
    <xf numFmtId="0" fontId="0" fillId="0" borderId="10" xfId="0" applyBorder="1" applyAlignment="1">
      <alignment horizontal="left" wrapText="1"/>
    </xf>
    <xf numFmtId="0" fontId="19" fillId="0" borderId="10" xfId="0" applyFont="1" applyBorder="1" applyAlignment="1">
      <alignment horizontal="center" vertical="top" wrapText="1"/>
    </xf>
    <xf numFmtId="4" fontId="22" fillId="0" borderId="10" xfId="0" applyNumberFormat="1" applyFont="1" applyBorder="1" applyAlignment="1">
      <alignment horizontal="right" vertical="top" shrinkToFit="1"/>
    </xf>
    <xf numFmtId="9" fontId="21" fillId="0" borderId="10" xfId="0" applyNumberFormat="1" applyFont="1" applyBorder="1" applyAlignment="1">
      <alignment horizontal="center" vertical="top" shrinkToFit="1"/>
    </xf>
    <xf numFmtId="4" fontId="22" fillId="7" borderId="10" xfId="0" applyNumberFormat="1" applyFont="1" applyFill="1" applyBorder="1" applyAlignment="1">
      <alignment horizontal="right" vertical="top" shrinkToFit="1"/>
    </xf>
    <xf numFmtId="0" fontId="20" fillId="0" borderId="10" xfId="0" applyFont="1" applyBorder="1" applyAlignment="1">
      <alignment horizontal="left" vertical="top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/>
    <xf numFmtId="0" fontId="10" fillId="6" borderId="12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wrapText="1"/>
    </xf>
    <xf numFmtId="2" fontId="0" fillId="0" borderId="0" xfId="0" applyNumberFormat="1" applyFont="1" applyFill="1" applyBorder="1" applyAlignment="1"/>
    <xf numFmtId="0" fontId="15" fillId="0" borderId="10" xfId="0" applyFont="1" applyBorder="1" applyAlignment="1">
      <alignment horizontal="center" vertical="top" wrapText="1"/>
    </xf>
    <xf numFmtId="4" fontId="17" fillId="0" borderId="10" xfId="0" applyNumberFormat="1" applyFont="1" applyBorder="1" applyAlignment="1">
      <alignment horizontal="right" vertical="top" shrinkToFit="1"/>
    </xf>
    <xf numFmtId="2" fontId="17" fillId="0" borderId="10" xfId="0" applyNumberFormat="1" applyFont="1" applyBorder="1" applyAlignment="1">
      <alignment horizontal="right" vertical="top" shrinkToFit="1"/>
    </xf>
    <xf numFmtId="2" fontId="17" fillId="0" borderId="10" xfId="0" applyNumberFormat="1" applyFont="1" applyBorder="1" applyAlignment="1">
      <alignment horizontal="center" vertical="top" shrinkToFi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left" vertical="top" wrapText="1"/>
    </xf>
    <xf numFmtId="4" fontId="17" fillId="0" borderId="24" xfId="0" applyNumberFormat="1" applyFont="1" applyBorder="1" applyAlignment="1">
      <alignment horizontal="right" vertical="top" shrinkToFit="1"/>
    </xf>
    <xf numFmtId="0" fontId="15" fillId="0" borderId="27" xfId="0" applyFont="1" applyBorder="1" applyAlignment="1">
      <alignment horizontal="left" vertical="top" wrapText="1"/>
    </xf>
    <xf numFmtId="4" fontId="17" fillId="0" borderId="24" xfId="0" applyNumberFormat="1" applyFont="1" applyBorder="1" applyAlignment="1">
      <alignment horizontal="center" vertical="top" shrinkToFi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NumberFormat="1" applyFont="1" applyFill="1" applyBorder="1" applyAlignme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10" fontId="18" fillId="0" borderId="10" xfId="0" applyNumberFormat="1" applyFont="1" applyBorder="1" applyAlignment="1">
      <alignment horizontal="center" vertical="center" shrinkToFit="1"/>
    </xf>
    <xf numFmtId="10" fontId="22" fillId="0" borderId="10" xfId="0" applyNumberFormat="1" applyFont="1" applyBorder="1" applyAlignment="1">
      <alignment horizontal="center" vertical="center" shrinkToFi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wrapText="1"/>
    </xf>
    <xf numFmtId="10" fontId="18" fillId="5" borderId="10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vertical="top" wrapText="1"/>
    </xf>
    <xf numFmtId="0" fontId="5" fillId="2" borderId="0" xfId="0" applyNumberFormat="1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0" fillId="0" borderId="6" xfId="0" applyNumberFormat="1" applyFont="1" applyFill="1" applyBorder="1" applyAlignment="1"/>
    <xf numFmtId="0" fontId="0" fillId="0" borderId="6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166" fontId="29" fillId="2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/>
    </xf>
    <xf numFmtId="167" fontId="29" fillId="2" borderId="1" xfId="0" applyNumberFormat="1" applyFont="1" applyFill="1" applyBorder="1" applyAlignment="1">
      <alignment horizontal="center" vertical="center" wrapText="1"/>
    </xf>
    <xf numFmtId="2" fontId="28" fillId="0" borderId="10" xfId="0" applyNumberFormat="1" applyFont="1" applyBorder="1" applyAlignment="1">
      <alignment horizontal="center" vertical="top" shrinkToFit="1"/>
    </xf>
    <xf numFmtId="4" fontId="28" fillId="0" borderId="10" xfId="0" applyNumberFormat="1" applyFont="1" applyBorder="1" applyAlignment="1">
      <alignment horizontal="center" vertical="top" shrinkToFit="1"/>
    </xf>
    <xf numFmtId="177" fontId="3" fillId="0" borderId="0" xfId="0" applyNumberFormat="1" applyFont="1" applyAlignment="1">
      <alignment horizontal="center"/>
    </xf>
    <xf numFmtId="164" fontId="29" fillId="2" borderId="1" xfId="0" applyNumberFormat="1" applyFont="1" applyFill="1" applyBorder="1" applyAlignment="1">
      <alignment vertical="center" wrapText="1"/>
    </xf>
    <xf numFmtId="0" fontId="29" fillId="2" borderId="1" xfId="0" applyFont="1" applyFill="1" applyBorder="1" applyAlignment="1">
      <alignment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29" fillId="2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/>
    </xf>
    <xf numFmtId="0" fontId="30" fillId="3" borderId="1" xfId="0" applyFont="1" applyFill="1" applyBorder="1" applyAlignment="1">
      <alignment horizontal="center" vertical="top" wrapText="1"/>
    </xf>
    <xf numFmtId="0" fontId="30" fillId="2" borderId="2" xfId="0" applyFont="1" applyFill="1" applyBorder="1" applyAlignment="1">
      <alignment horizontal="center" vertical="top" wrapText="1"/>
    </xf>
    <xf numFmtId="0" fontId="29" fillId="2" borderId="0" xfId="0" applyNumberFormat="1" applyFont="1" applyFill="1" applyBorder="1" applyAlignment="1">
      <alignment horizontal="center" vertical="top" wrapText="1"/>
    </xf>
    <xf numFmtId="166" fontId="29" fillId="2" borderId="1" xfId="0" applyNumberFormat="1" applyFont="1" applyFill="1" applyBorder="1" applyAlignment="1">
      <alignment horizontal="center" vertical="top" wrapText="1"/>
    </xf>
    <xf numFmtId="172" fontId="29" fillId="2" borderId="1" xfId="0" applyNumberFormat="1" applyFont="1" applyFill="1" applyBorder="1" applyAlignment="1">
      <alignment horizontal="center" vertical="top" wrapText="1"/>
    </xf>
    <xf numFmtId="170" fontId="29" fillId="2" borderId="1" xfId="0" applyNumberFormat="1" applyFont="1" applyFill="1" applyBorder="1" applyAlignment="1">
      <alignment horizontal="center" vertical="top" wrapText="1"/>
    </xf>
    <xf numFmtId="171" fontId="29" fillId="2" borderId="1" xfId="0" applyNumberFormat="1" applyFont="1" applyFill="1" applyBorder="1" applyAlignment="1">
      <alignment horizontal="center" vertical="top" wrapText="1"/>
    </xf>
    <xf numFmtId="168" fontId="29" fillId="2" borderId="1" xfId="0" applyNumberFormat="1" applyFont="1" applyFill="1" applyBorder="1" applyAlignment="1">
      <alignment horizontal="center" vertical="top" wrapText="1"/>
    </xf>
    <xf numFmtId="175" fontId="29" fillId="2" borderId="1" xfId="0" applyNumberFormat="1" applyFont="1" applyFill="1" applyBorder="1" applyAlignment="1">
      <alignment horizontal="center" vertical="top" wrapText="1"/>
    </xf>
    <xf numFmtId="176" fontId="29" fillId="2" borderId="1" xfId="0" applyNumberFormat="1" applyFont="1" applyFill="1" applyBorder="1" applyAlignment="1">
      <alignment horizontal="center" vertical="top" wrapText="1"/>
    </xf>
    <xf numFmtId="0" fontId="30" fillId="3" borderId="2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178" fontId="29" fillId="2" borderId="4" xfId="2" applyNumberFormat="1" applyFont="1" applyFill="1" applyBorder="1" applyAlignment="1">
      <alignment horizontal="center" vertical="center" wrapText="1"/>
    </xf>
    <xf numFmtId="44" fontId="29" fillId="2" borderId="4" xfId="0" applyNumberFormat="1" applyFont="1" applyFill="1" applyBorder="1" applyAlignment="1">
      <alignment horizontal="center" vertical="center" wrapText="1"/>
    </xf>
    <xf numFmtId="178" fontId="29" fillId="2" borderId="0" xfId="2" applyNumberFormat="1" applyFont="1" applyFill="1" applyBorder="1" applyAlignment="1">
      <alignment horizontal="center" vertical="center" wrapText="1"/>
    </xf>
    <xf numFmtId="0" fontId="29" fillId="3" borderId="1" xfId="2" applyNumberFormat="1" applyFont="1" applyFill="1" applyBorder="1" applyAlignment="1">
      <alignment horizontal="center" vertical="top" wrapText="1"/>
    </xf>
    <xf numFmtId="44" fontId="29" fillId="3" borderId="1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/>
    </xf>
    <xf numFmtId="174" fontId="29" fillId="3" borderId="1" xfId="0" applyNumberFormat="1" applyFont="1" applyFill="1" applyBorder="1" applyAlignment="1">
      <alignment horizontal="center" vertical="top" wrapText="1"/>
    </xf>
    <xf numFmtId="173" fontId="29" fillId="3" borderId="1" xfId="0" applyNumberFormat="1" applyFont="1" applyFill="1" applyBorder="1" applyAlignment="1">
      <alignment horizontal="center" vertical="top" wrapText="1"/>
    </xf>
    <xf numFmtId="167" fontId="29" fillId="3" borderId="1" xfId="0" applyNumberFormat="1" applyFont="1" applyFill="1" applyBorder="1" applyAlignment="1">
      <alignment horizontal="center" vertical="top" wrapText="1"/>
    </xf>
    <xf numFmtId="177" fontId="29" fillId="3" borderId="1" xfId="0" applyNumberFormat="1" applyFont="1" applyFill="1" applyBorder="1" applyAlignment="1">
      <alignment horizontal="center" vertical="top" wrapText="1"/>
    </xf>
    <xf numFmtId="43" fontId="29" fillId="0" borderId="10" xfId="3" applyFont="1" applyBorder="1" applyAlignment="1">
      <alignment horizontal="center" vertical="top"/>
    </xf>
    <xf numFmtId="2" fontId="29" fillId="0" borderId="10" xfId="0" applyNumberFormat="1" applyFont="1" applyBorder="1" applyAlignment="1">
      <alignment horizontal="right" vertical="top" shrinkToFit="1"/>
    </xf>
    <xf numFmtId="2" fontId="29" fillId="0" borderId="10" xfId="0" applyNumberFormat="1" applyFont="1" applyBorder="1" applyAlignment="1">
      <alignment horizontal="center" vertical="center" shrinkToFit="1"/>
    </xf>
    <xf numFmtId="174" fontId="4" fillId="3" borderId="1" xfId="0" applyNumberFormat="1" applyFont="1" applyFill="1" applyBorder="1" applyAlignment="1">
      <alignment horizontal="right" vertical="top" wrapText="1"/>
    </xf>
    <xf numFmtId="174" fontId="4" fillId="3" borderId="2" xfId="0" applyNumberFormat="1" applyFont="1" applyFill="1" applyBorder="1" applyAlignment="1">
      <alignment horizontal="right" vertical="top" wrapText="1"/>
    </xf>
    <xf numFmtId="174" fontId="4" fillId="3" borderId="3" xfId="0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169" fontId="4" fillId="2" borderId="4" xfId="0" applyNumberFormat="1" applyFont="1" applyFill="1" applyBorder="1" applyAlignment="1">
      <alignment horizontal="right" vertical="center" wrapText="1"/>
    </xf>
    <xf numFmtId="169" fontId="4" fillId="2" borderId="0" xfId="0" applyNumberFormat="1" applyFont="1" applyFill="1" applyBorder="1" applyAlignment="1">
      <alignment horizontal="right" vertical="center" wrapText="1"/>
    </xf>
    <xf numFmtId="169" fontId="4" fillId="2" borderId="5" xfId="0" applyNumberFormat="1" applyFont="1" applyFill="1" applyBorder="1" applyAlignment="1">
      <alignment horizontal="right" vertical="center" wrapText="1"/>
    </xf>
    <xf numFmtId="167" fontId="4" fillId="2" borderId="4" xfId="0" applyNumberFormat="1" applyFont="1" applyFill="1" applyBorder="1" applyAlignment="1">
      <alignment horizontal="right"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167" fontId="4" fillId="2" borderId="5" xfId="0" applyNumberFormat="1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173" fontId="4" fillId="2" borderId="4" xfId="0" applyNumberFormat="1" applyFont="1" applyFill="1" applyBorder="1" applyAlignment="1">
      <alignment horizontal="right" vertical="center" wrapText="1"/>
    </xf>
    <xf numFmtId="173" fontId="4" fillId="2" borderId="0" xfId="0" applyNumberFormat="1" applyFont="1" applyFill="1" applyBorder="1" applyAlignment="1">
      <alignment horizontal="right" vertical="center" wrapText="1"/>
    </xf>
    <xf numFmtId="173" fontId="4" fillId="2" borderId="5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right" vertical="center" wrapText="1"/>
    </xf>
    <xf numFmtId="0" fontId="10" fillId="7" borderId="7" xfId="0" applyFont="1" applyFill="1" applyBorder="1" applyAlignment="1">
      <alignment horizontal="right" vertical="top" wrapText="1"/>
    </xf>
    <xf numFmtId="0" fontId="10" fillId="7" borderId="8" xfId="0" applyFont="1" applyFill="1" applyBorder="1" applyAlignment="1">
      <alignment horizontal="right" vertical="top" wrapText="1"/>
    </xf>
    <xf numFmtId="0" fontId="10" fillId="7" borderId="9" xfId="0" applyFont="1" applyFill="1" applyBorder="1" applyAlignment="1">
      <alignment horizontal="right" vertical="top" wrapText="1"/>
    </xf>
    <xf numFmtId="0" fontId="10" fillId="8" borderId="7" xfId="0" applyFont="1" applyFill="1" applyBorder="1" applyAlignment="1">
      <alignment horizontal="right" vertical="top" wrapText="1"/>
    </xf>
    <xf numFmtId="0" fontId="10" fillId="8" borderId="8" xfId="0" applyFont="1" applyFill="1" applyBorder="1" applyAlignment="1">
      <alignment horizontal="right" vertical="top" wrapText="1"/>
    </xf>
    <xf numFmtId="0" fontId="10" fillId="8" borderId="9" xfId="0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right" vertical="top" wrapText="1"/>
    </xf>
    <xf numFmtId="0" fontId="10" fillId="0" borderId="9" xfId="0" applyFont="1" applyBorder="1" applyAlignment="1">
      <alignment horizontal="right" vertical="top" wrapText="1"/>
    </xf>
    <xf numFmtId="0" fontId="10" fillId="6" borderId="14" xfId="0" applyFont="1" applyFill="1" applyBorder="1" applyAlignment="1">
      <alignment horizontal="left" vertical="top" wrapText="1" indent="26"/>
    </xf>
    <xf numFmtId="0" fontId="10" fillId="6" borderId="18" xfId="0" applyFont="1" applyFill="1" applyBorder="1" applyAlignment="1">
      <alignment horizontal="left" vertical="top" wrapText="1" indent="26"/>
    </xf>
    <xf numFmtId="0" fontId="10" fillId="6" borderId="15" xfId="0" applyFont="1" applyFill="1" applyBorder="1" applyAlignment="1">
      <alignment horizontal="left" vertical="top" wrapText="1" indent="26"/>
    </xf>
    <xf numFmtId="0" fontId="10" fillId="6" borderId="16" xfId="0" applyFont="1" applyFill="1" applyBorder="1" applyAlignment="1">
      <alignment horizontal="left" vertical="top" wrapText="1" indent="26"/>
    </xf>
    <xf numFmtId="0" fontId="10" fillId="6" borderId="13" xfId="0" applyFont="1" applyFill="1" applyBorder="1" applyAlignment="1">
      <alignment horizontal="left" vertical="top" wrapText="1" indent="26"/>
    </xf>
    <xf numFmtId="0" fontId="10" fillId="6" borderId="17" xfId="0" applyFont="1" applyFill="1" applyBorder="1" applyAlignment="1">
      <alignment horizontal="left" vertical="top" wrapText="1" indent="26"/>
    </xf>
    <xf numFmtId="0" fontId="0" fillId="6" borderId="11" xfId="0" applyFill="1" applyBorder="1" applyAlignment="1">
      <alignment horizontal="center" vertical="top" wrapText="1"/>
    </xf>
    <xf numFmtId="0" fontId="0" fillId="6" borderId="12" xfId="0" applyFill="1" applyBorder="1" applyAlignment="1">
      <alignment horizontal="center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10" fillId="5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7" borderId="7" xfId="0" applyFont="1" applyFill="1" applyBorder="1" applyAlignment="1">
      <alignment horizontal="left" vertical="top" wrapText="1"/>
    </xf>
    <xf numFmtId="0" fontId="10" fillId="7" borderId="8" xfId="0" applyFont="1" applyFill="1" applyBorder="1" applyAlignment="1">
      <alignment horizontal="left" vertical="top" wrapText="1"/>
    </xf>
    <xf numFmtId="0" fontId="10" fillId="7" borderId="9" xfId="0" applyFont="1" applyFill="1" applyBorder="1" applyAlignment="1">
      <alignment horizontal="left" vertical="top" wrapText="1"/>
    </xf>
    <xf numFmtId="0" fontId="10" fillId="0" borderId="33" xfId="0" applyNumberFormat="1" applyFont="1" applyFill="1" applyBorder="1" applyAlignment="1">
      <alignment horizontal="right" vertical="center"/>
    </xf>
    <xf numFmtId="0" fontId="10" fillId="0" borderId="34" xfId="0" applyNumberFormat="1" applyFont="1" applyFill="1" applyBorder="1" applyAlignment="1">
      <alignment horizontal="right" vertical="center"/>
    </xf>
    <xf numFmtId="0" fontId="10" fillId="0" borderId="22" xfId="0" applyNumberFormat="1" applyFont="1" applyFill="1" applyBorder="1" applyAlignment="1">
      <alignment horizontal="right" vertical="center"/>
    </xf>
    <xf numFmtId="0" fontId="11" fillId="5" borderId="25" xfId="0" applyFont="1" applyFill="1" applyBorder="1" applyAlignment="1">
      <alignment horizontal="right" vertical="top" wrapText="1"/>
    </xf>
    <xf numFmtId="0" fontId="11" fillId="5" borderId="8" xfId="0" applyFont="1" applyFill="1" applyBorder="1" applyAlignment="1">
      <alignment horizontal="right" vertical="top" wrapText="1"/>
    </xf>
    <xf numFmtId="0" fontId="11" fillId="5" borderId="9" xfId="0" applyFont="1" applyFill="1" applyBorder="1" applyAlignment="1">
      <alignment horizontal="right" vertical="top" wrapText="1"/>
    </xf>
    <xf numFmtId="4" fontId="13" fillId="5" borderId="7" xfId="0" applyNumberFormat="1" applyFont="1" applyFill="1" applyBorder="1" applyAlignment="1">
      <alignment horizontal="left" vertical="top" indent="6" shrinkToFit="1"/>
    </xf>
    <xf numFmtId="4" fontId="13" fillId="5" borderId="26" xfId="0" applyNumberFormat="1" applyFont="1" applyFill="1" applyBorder="1" applyAlignment="1">
      <alignment horizontal="left" vertical="top" indent="6" shrinkToFit="1"/>
    </xf>
    <xf numFmtId="0" fontId="11" fillId="5" borderId="35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top" wrapText="1"/>
    </xf>
    <xf numFmtId="0" fontId="11" fillId="5" borderId="26" xfId="0" applyFont="1" applyFill="1" applyBorder="1" applyAlignment="1">
      <alignment horizontal="left" vertical="top" wrapText="1"/>
    </xf>
    <xf numFmtId="0" fontId="11" fillId="5" borderId="28" xfId="0" applyFont="1" applyFill="1" applyBorder="1" applyAlignment="1">
      <alignment horizontal="right" vertical="top" wrapText="1"/>
    </xf>
    <xf numFmtId="0" fontId="11" fillId="5" borderId="29" xfId="0" applyFont="1" applyFill="1" applyBorder="1" applyAlignment="1">
      <alignment horizontal="right" vertical="top" wrapText="1"/>
    </xf>
    <xf numFmtId="0" fontId="11" fillId="5" borderId="30" xfId="0" applyFont="1" applyFill="1" applyBorder="1" applyAlignment="1">
      <alignment horizontal="right" vertical="top" wrapText="1"/>
    </xf>
    <xf numFmtId="4" fontId="13" fillId="5" borderId="31" xfId="0" applyNumberFormat="1" applyFont="1" applyFill="1" applyBorder="1" applyAlignment="1">
      <alignment horizontal="left" vertical="top" indent="6" shrinkToFit="1"/>
    </xf>
    <xf numFmtId="4" fontId="13" fillId="5" borderId="32" xfId="0" applyNumberFormat="1" applyFont="1" applyFill="1" applyBorder="1" applyAlignment="1">
      <alignment horizontal="left" vertical="top" indent="6" shrinkToFit="1"/>
    </xf>
    <xf numFmtId="4" fontId="13" fillId="5" borderId="31" xfId="0" applyNumberFormat="1" applyFont="1" applyFill="1" applyBorder="1" applyAlignment="1">
      <alignment horizontal="center" vertical="top" shrinkToFit="1"/>
    </xf>
    <xf numFmtId="4" fontId="13" fillId="5" borderId="32" xfId="0" applyNumberFormat="1" applyFont="1" applyFill="1" applyBorder="1" applyAlignment="1">
      <alignment horizontal="center" vertical="top" shrinkToFit="1"/>
    </xf>
    <xf numFmtId="0" fontId="10" fillId="0" borderId="36" xfId="0" applyNumberFormat="1" applyFont="1" applyFill="1" applyBorder="1" applyAlignment="1">
      <alignment horizontal="right" vertical="center"/>
    </xf>
    <xf numFmtId="4" fontId="13" fillId="5" borderId="7" xfId="0" applyNumberFormat="1" applyFont="1" applyFill="1" applyBorder="1" applyAlignment="1">
      <alignment horizontal="center" vertical="top" shrinkToFit="1"/>
    </xf>
    <xf numFmtId="4" fontId="13" fillId="5" borderId="26" xfId="0" applyNumberFormat="1" applyFont="1" applyFill="1" applyBorder="1" applyAlignment="1">
      <alignment horizontal="center" vertical="top" shrinkToFit="1"/>
    </xf>
    <xf numFmtId="0" fontId="11" fillId="5" borderId="19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 indent="46"/>
    </xf>
    <xf numFmtId="0" fontId="15" fillId="0" borderId="0" xfId="0" applyFont="1" applyAlignment="1">
      <alignment horizontal="center" vertical="top" wrapText="1"/>
    </xf>
    <xf numFmtId="0" fontId="0" fillId="0" borderId="13" xfId="0" applyNumberFormat="1" applyFont="1" applyFill="1" applyBorder="1" applyAlignment="1">
      <alignment horizontal="center"/>
    </xf>
    <xf numFmtId="0" fontId="24" fillId="0" borderId="0" xfId="0" applyFont="1" applyAlignment="1">
      <alignment horizontal="left" vertical="top" wrapText="1"/>
    </xf>
    <xf numFmtId="10" fontId="18" fillId="0" borderId="7" xfId="0" applyNumberFormat="1" applyFont="1" applyBorder="1" applyAlignment="1">
      <alignment horizontal="center" vertical="center" shrinkToFit="1"/>
    </xf>
    <xf numFmtId="10" fontId="18" fillId="0" borderId="9" xfId="0" applyNumberFormat="1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 wrapText="1" indent="2"/>
    </xf>
    <xf numFmtId="0" fontId="2" fillId="0" borderId="12" xfId="0" applyFont="1" applyBorder="1" applyAlignment="1">
      <alignment horizontal="left" vertical="top" wrapText="1" indent="2"/>
    </xf>
    <xf numFmtId="0" fontId="2" fillId="0" borderId="11" xfId="0" applyFont="1" applyBorder="1" applyAlignment="1">
      <alignment horizontal="left" vertical="top" wrapText="1" indent="1"/>
    </xf>
    <xf numFmtId="0" fontId="2" fillId="0" borderId="12" xfId="0" applyFont="1" applyBorder="1" applyAlignment="1">
      <alignment horizontal="left" vertical="top" wrapText="1" indent="1"/>
    </xf>
    <xf numFmtId="0" fontId="10" fillId="5" borderId="7" xfId="0" applyFont="1" applyFill="1" applyBorder="1" applyAlignment="1">
      <alignment horizontal="center" vertical="top" wrapText="1"/>
    </xf>
    <xf numFmtId="0" fontId="10" fillId="5" borderId="8" xfId="0" applyFont="1" applyFill="1" applyBorder="1" applyAlignment="1">
      <alignment horizontal="center" vertical="top" wrapText="1"/>
    </xf>
    <xf numFmtId="0" fontId="10" fillId="5" borderId="9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</cellXfs>
  <cellStyles count="4">
    <cellStyle name="Normal" xfId="0" builtinId="0"/>
    <cellStyle name="Normal 2" xfId="1" xr:uid="{E73CF2F3-8633-4CFB-881A-E8A8A804CFCE}"/>
    <cellStyle name="Porcentagem" xfId="2" builtinId="5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3366"/>
      <rgbColor rgb="00E6E6E6"/>
      <rgbColor rgb="00F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839666</xdr:colOff>
      <xdr:row>351</xdr:row>
      <xdr:rowOff>201490</xdr:rowOff>
    </xdr:from>
    <xdr:to>
      <xdr:col>4</xdr:col>
      <xdr:colOff>303514</xdr:colOff>
      <xdr:row>351</xdr:row>
      <xdr:rowOff>1227259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F56916E-243C-EE2C-3065-B73CFB16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4066" y="68933890"/>
          <a:ext cx="5855123" cy="1025769"/>
        </a:xfrm>
        <a:prstGeom prst="rect">
          <a:avLst/>
        </a:prstGeom>
      </xdr:spPr>
    </xdr:pic>
    <xdr:clientData/>
  </xdr:twoCellAnchor>
  <xdr:twoCellAnchor editAs="oneCell">
    <xdr:from>
      <xdr:col>0</xdr:col>
      <xdr:colOff>139212</xdr:colOff>
      <xdr:row>0</xdr:row>
      <xdr:rowOff>109904</xdr:rowOff>
    </xdr:from>
    <xdr:to>
      <xdr:col>1</xdr:col>
      <xdr:colOff>5078470</xdr:colOff>
      <xdr:row>0</xdr:row>
      <xdr:rowOff>1135673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C9EEE9F-2291-4C58-B5C8-326C21EE1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212" y="109904"/>
          <a:ext cx="5855123" cy="10257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171214</xdr:colOff>
      <xdr:row>0</xdr:row>
      <xdr:rowOff>828148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8F85DCD-E159-4E94-A6E3-BB726B077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705350" cy="8243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190500</xdr:colOff>
      <xdr:row>0</xdr:row>
      <xdr:rowOff>1383560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8B5EFB4-C78B-4256-84AC-C454FC205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05750" cy="13835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95251</xdr:rowOff>
    </xdr:from>
    <xdr:to>
      <xdr:col>2</xdr:col>
      <xdr:colOff>408052</xdr:colOff>
      <xdr:row>0</xdr:row>
      <xdr:rowOff>800100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6881FB5-A62C-40BB-9490-6E6EC128AF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1"/>
          <a:ext cx="4027552" cy="704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296394</xdr:colOff>
      <xdr:row>0</xdr:row>
      <xdr:rowOff>76200</xdr:rowOff>
    </xdr:from>
    <xdr:to>
      <xdr:col>2</xdr:col>
      <xdr:colOff>119289</xdr:colOff>
      <xdr:row>0</xdr:row>
      <xdr:rowOff>1028700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77DB7E6-3668-49E7-92AB-97C6CFAAD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6394" y="76200"/>
          <a:ext cx="5448248" cy="952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5334</xdr:colOff>
      <xdr:row>3</xdr:row>
      <xdr:rowOff>4952</xdr:rowOff>
    </xdr:from>
    <xdr:ext cx="1499616" cy="309373"/>
    <xdr:sp macro="" textlink="">
      <xdr:nvSpPr>
        <xdr:cNvPr id="11" name="Shape 4">
          <a:extLst>
            <a:ext uri="{FF2B5EF4-FFF2-40B4-BE49-F238E27FC236}">
              <a16:creationId xmlns:a16="http://schemas.microsoft.com/office/drawing/2014/main" id="{098B0B4F-59B1-6384-15A0-24C07BC235C0}"/>
            </a:ext>
          </a:extLst>
        </xdr:cNvPr>
        <xdr:cNvSpPr/>
      </xdr:nvSpPr>
      <xdr:spPr>
        <a:xfrm>
          <a:off x="5334" y="328802"/>
          <a:ext cx="1499616" cy="309373"/>
        </a:xfrm>
        <a:custGeom>
          <a:avLst/>
          <a:gdLst/>
          <a:ahLst/>
          <a:cxnLst/>
          <a:rect l="0" t="0" r="0" b="0"/>
          <a:pathLst>
            <a:path w="2066289" h="266700">
              <a:moveTo>
                <a:pt x="0" y="0"/>
              </a:moveTo>
              <a:lnTo>
                <a:pt x="23622" y="0"/>
              </a:lnTo>
              <a:lnTo>
                <a:pt x="2066036" y="263651"/>
              </a:lnTo>
              <a:lnTo>
                <a:pt x="2066036" y="266700"/>
              </a:lnTo>
              <a:lnTo>
                <a:pt x="2037080" y="266700"/>
              </a:lnTo>
              <a:lnTo>
                <a:pt x="0" y="3736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  <xdr:oneCellAnchor>
    <xdr:from>
      <xdr:col>0</xdr:col>
      <xdr:colOff>4444</xdr:colOff>
      <xdr:row>9</xdr:row>
      <xdr:rowOff>2032</xdr:rowOff>
    </xdr:from>
    <xdr:ext cx="1490981" cy="417068"/>
    <xdr:grpSp>
      <xdr:nvGrpSpPr>
        <xdr:cNvPr id="12" name="Group 5">
          <a:extLst>
            <a:ext uri="{FF2B5EF4-FFF2-40B4-BE49-F238E27FC236}">
              <a16:creationId xmlns:a16="http://schemas.microsoft.com/office/drawing/2014/main" id="{A6A8E6B5-7A55-4CDB-B0A0-70ED849FB125}"/>
            </a:ext>
          </a:extLst>
        </xdr:cNvPr>
        <xdr:cNvGrpSpPr/>
      </xdr:nvGrpSpPr>
      <xdr:grpSpPr>
        <a:xfrm>
          <a:off x="4444" y="2341372"/>
          <a:ext cx="1490981" cy="417068"/>
          <a:chOff x="0" y="0"/>
          <a:chExt cx="2068195" cy="269240"/>
        </a:xfrm>
      </xdr:grpSpPr>
      <xdr:sp macro="" textlink="">
        <xdr:nvSpPr>
          <xdr:cNvPr id="13" name="Shape 6">
            <a:extLst>
              <a:ext uri="{FF2B5EF4-FFF2-40B4-BE49-F238E27FC236}">
                <a16:creationId xmlns:a16="http://schemas.microsoft.com/office/drawing/2014/main" id="{C243A71F-93B9-FA59-C8E5-117C50A23D5B}"/>
              </a:ext>
            </a:extLst>
          </xdr:cNvPr>
          <xdr:cNvSpPr/>
        </xdr:nvSpPr>
        <xdr:spPr>
          <a:xfrm>
            <a:off x="889" y="889"/>
            <a:ext cx="2066289" cy="267335"/>
          </a:xfrm>
          <a:custGeom>
            <a:avLst/>
            <a:gdLst/>
            <a:ahLst/>
            <a:cxnLst/>
            <a:rect l="0" t="0" r="0" b="0"/>
            <a:pathLst>
              <a:path w="2066289" h="267335">
                <a:moveTo>
                  <a:pt x="23622" y="0"/>
                </a:moveTo>
                <a:lnTo>
                  <a:pt x="0" y="0"/>
                </a:lnTo>
                <a:lnTo>
                  <a:pt x="0" y="3737"/>
                </a:lnTo>
                <a:lnTo>
                  <a:pt x="2037080" y="266953"/>
                </a:lnTo>
                <a:lnTo>
                  <a:pt x="2066036" y="266953"/>
                </a:lnTo>
                <a:lnTo>
                  <a:pt x="2066036" y="263905"/>
                </a:lnTo>
                <a:lnTo>
                  <a:pt x="23622" y="0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14" name="Shape 7">
            <a:extLst>
              <a:ext uri="{FF2B5EF4-FFF2-40B4-BE49-F238E27FC236}">
                <a16:creationId xmlns:a16="http://schemas.microsoft.com/office/drawing/2014/main" id="{77F9E373-E630-478F-63FE-25E47BFF9C33}"/>
              </a:ext>
            </a:extLst>
          </xdr:cNvPr>
          <xdr:cNvSpPr/>
        </xdr:nvSpPr>
        <xdr:spPr>
          <a:xfrm>
            <a:off x="889" y="889"/>
            <a:ext cx="2066289" cy="267335"/>
          </a:xfrm>
          <a:custGeom>
            <a:avLst/>
            <a:gdLst/>
            <a:ahLst/>
            <a:cxnLst/>
            <a:rect l="0" t="0" r="0" b="0"/>
            <a:pathLst>
              <a:path w="2066289" h="267335">
                <a:moveTo>
                  <a:pt x="0" y="0"/>
                </a:moveTo>
                <a:lnTo>
                  <a:pt x="23622" y="0"/>
                </a:lnTo>
                <a:lnTo>
                  <a:pt x="2066036" y="263905"/>
                </a:lnTo>
                <a:lnTo>
                  <a:pt x="2066036" y="266953"/>
                </a:lnTo>
                <a:lnTo>
                  <a:pt x="2037080" y="266953"/>
                </a:lnTo>
                <a:lnTo>
                  <a:pt x="0" y="3737"/>
                </a:lnTo>
              </a:path>
            </a:pathLst>
          </a:custGeom>
          <a:ln w="3175">
            <a:solidFill>
              <a:srgbClr val="000000"/>
            </a:solidFill>
          </a:ln>
        </xdr:spPr>
      </xdr:sp>
    </xdr:grpSp>
    <xdr:clientData/>
  </xdr:oneCellAnchor>
  <xdr:oneCellAnchor>
    <xdr:from>
      <xdr:col>0</xdr:col>
      <xdr:colOff>987882</xdr:colOff>
      <xdr:row>18</xdr:row>
      <xdr:rowOff>225399</xdr:rowOff>
    </xdr:from>
    <xdr:ext cx="3017139" cy="552989"/>
    <xdr:pic>
      <xdr:nvPicPr>
        <xdr:cNvPr id="15" name="image1.png">
          <a:extLst>
            <a:ext uri="{FF2B5EF4-FFF2-40B4-BE49-F238E27FC236}">
              <a16:creationId xmlns:a16="http://schemas.microsoft.com/office/drawing/2014/main" id="{41B21DF5-CD22-4CB3-98E9-B6019C323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882" y="3787749"/>
          <a:ext cx="3017139" cy="552989"/>
        </a:xfrm>
        <a:prstGeom prst="rect">
          <a:avLst/>
        </a:prstGeom>
      </xdr:spPr>
    </xdr:pic>
    <xdr:clientData/>
  </xdr:oneCellAnchor>
  <xdr:twoCellAnchor editAs="oneCell">
    <xdr:from>
      <xdr:col>1</xdr:col>
      <xdr:colOff>19050</xdr:colOff>
      <xdr:row>0</xdr:row>
      <xdr:rowOff>57150</xdr:rowOff>
    </xdr:from>
    <xdr:to>
      <xdr:col>9</xdr:col>
      <xdr:colOff>76148</xdr:colOff>
      <xdr:row>0</xdr:row>
      <xdr:rowOff>1009650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2F918519-FDF6-4DE8-B8D0-CCAADC90C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0" y="57150"/>
          <a:ext cx="5448248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84AFD-ED94-4D04-A1D9-6BE1A3E92286}">
  <sheetPr>
    <pageSetUpPr fitToPage="1"/>
  </sheetPr>
  <dimension ref="A1:M379"/>
  <sheetViews>
    <sheetView view="pageBreakPreview" zoomScaleNormal="100" zoomScaleSheetLayoutView="100" workbookViewId="0">
      <selection activeCell="Q345" sqref="Q345"/>
    </sheetView>
  </sheetViews>
  <sheetFormatPr defaultRowHeight="12.75"/>
  <cols>
    <col min="1" max="1" width="13.7109375" style="68" bestFit="1" customWidth="1"/>
    <col min="2" max="2" width="85.28515625" customWidth="1"/>
    <col min="3" max="3" width="5.7109375" style="1" bestFit="1" customWidth="1"/>
    <col min="4" max="4" width="4.85546875" style="1" bestFit="1" customWidth="1"/>
    <col min="5" max="5" width="13.28515625" style="120" bestFit="1" customWidth="1"/>
    <col min="6" max="6" width="15" style="120" bestFit="1" customWidth="1"/>
    <col min="7" max="7" width="14.140625" style="120" bestFit="1" customWidth="1"/>
    <col min="8" max="8" width="6.28515625" style="1" customWidth="1"/>
    <col min="9" max="9" width="11.7109375" style="1" hidden="1" customWidth="1"/>
    <col min="10" max="10" width="11.85546875" style="1" hidden="1" customWidth="1"/>
    <col min="11" max="12" width="0" style="1" hidden="1" customWidth="1"/>
    <col min="13" max="13" width="0" hidden="1" customWidth="1"/>
  </cols>
  <sheetData>
    <row r="1" spans="1:9" ht="99" customHeight="1">
      <c r="A1" s="81"/>
      <c r="B1" s="80"/>
      <c r="C1" s="98"/>
      <c r="D1" s="98"/>
      <c r="E1" s="102"/>
      <c r="F1" s="102"/>
      <c r="G1" s="102"/>
    </row>
    <row r="2" spans="1:9" ht="10.35" customHeight="1">
      <c r="A2" s="82" t="s">
        <v>1</v>
      </c>
      <c r="B2" s="77" t="s">
        <v>2</v>
      </c>
      <c r="C2" s="99" t="s">
        <v>3</v>
      </c>
      <c r="D2" s="99" t="s">
        <v>4</v>
      </c>
      <c r="E2" s="103" t="s">
        <v>5</v>
      </c>
      <c r="F2" s="103" t="s">
        <v>6</v>
      </c>
      <c r="G2" s="103" t="s">
        <v>7</v>
      </c>
    </row>
    <row r="3" spans="1:9" ht="10.35" customHeight="1">
      <c r="A3" s="83"/>
      <c r="B3" s="78" t="s">
        <v>8</v>
      </c>
      <c r="C3" s="100"/>
      <c r="D3" s="100"/>
      <c r="E3" s="104"/>
      <c r="F3" s="104"/>
      <c r="G3" s="104"/>
    </row>
    <row r="4" spans="1:9" ht="10.35" customHeight="1">
      <c r="A4" s="83"/>
      <c r="B4" s="78" t="s">
        <v>9</v>
      </c>
      <c r="C4" s="100"/>
      <c r="D4" s="100"/>
      <c r="E4" s="104"/>
      <c r="F4" s="104"/>
      <c r="G4" s="104"/>
    </row>
    <row r="5" spans="1:9">
      <c r="A5" s="96">
        <v>40001</v>
      </c>
      <c r="B5" s="97" t="s">
        <v>10</v>
      </c>
      <c r="C5" s="88">
        <v>23.55</v>
      </c>
      <c r="D5" s="89" t="s">
        <v>11</v>
      </c>
      <c r="E5" s="90">
        <v>516000</v>
      </c>
      <c r="F5" s="91">
        <v>0.54</v>
      </c>
      <c r="G5" s="92">
        <f>TRUNC(E5*F5,2)</f>
        <v>278640</v>
      </c>
      <c r="I5" s="4">
        <f>G5/$I$347</f>
        <v>2.443278721964814E-3</v>
      </c>
    </row>
    <row r="6" spans="1:9">
      <c r="A6" s="96">
        <v>40003</v>
      </c>
      <c r="B6" s="97" t="s">
        <v>12</v>
      </c>
      <c r="C6" s="88">
        <v>23.55</v>
      </c>
      <c r="D6" s="89" t="s">
        <v>13</v>
      </c>
      <c r="E6" s="90">
        <v>591</v>
      </c>
      <c r="F6" s="91">
        <v>40.78</v>
      </c>
      <c r="G6" s="92">
        <f t="shared" ref="G6:G25" si="0">TRUNC(E6*F6,2)</f>
        <v>24100.98</v>
      </c>
      <c r="I6" s="4">
        <f t="shared" ref="I6:I69" si="1">G6/$I$347</f>
        <v>2.1133150880167794E-4</v>
      </c>
    </row>
    <row r="7" spans="1:9" ht="10.35" customHeight="1">
      <c r="A7" s="96">
        <v>40005</v>
      </c>
      <c r="B7" s="97" t="s">
        <v>14</v>
      </c>
      <c r="C7" s="88">
        <v>23.55</v>
      </c>
      <c r="D7" s="89" t="s">
        <v>15</v>
      </c>
      <c r="E7" s="90">
        <v>77898.58</v>
      </c>
      <c r="F7" s="91">
        <v>2.52</v>
      </c>
      <c r="G7" s="92">
        <f t="shared" si="0"/>
        <v>196304.42</v>
      </c>
      <c r="I7" s="4">
        <f t="shared" si="1"/>
        <v>1.7213121318319124E-3</v>
      </c>
    </row>
    <row r="8" spans="1:9" ht="10.35" customHeight="1">
      <c r="A8" s="96">
        <v>40006</v>
      </c>
      <c r="B8" s="97" t="s">
        <v>16</v>
      </c>
      <c r="C8" s="88">
        <v>23.55</v>
      </c>
      <c r="D8" s="89" t="s">
        <v>17</v>
      </c>
      <c r="E8" s="90">
        <v>216600.41</v>
      </c>
      <c r="F8" s="91">
        <v>2.4300000000000002</v>
      </c>
      <c r="G8" s="92">
        <f t="shared" si="0"/>
        <v>526338.99</v>
      </c>
      <c r="I8" s="4">
        <f t="shared" si="1"/>
        <v>4.6152485458205959E-3</v>
      </c>
    </row>
    <row r="9" spans="1:9">
      <c r="A9" s="96">
        <v>40010</v>
      </c>
      <c r="B9" s="97" t="s">
        <v>18</v>
      </c>
      <c r="C9" s="88">
        <v>23.55</v>
      </c>
      <c r="D9" s="89" t="s">
        <v>15</v>
      </c>
      <c r="E9" s="90">
        <v>52205.96</v>
      </c>
      <c r="F9" s="91">
        <v>2.97</v>
      </c>
      <c r="G9" s="92">
        <f t="shared" si="0"/>
        <v>155051.70000000001</v>
      </c>
      <c r="I9" s="4">
        <f t="shared" si="1"/>
        <v>1.3595841207811935E-3</v>
      </c>
    </row>
    <row r="10" spans="1:9">
      <c r="A10" s="96">
        <v>40015</v>
      </c>
      <c r="B10" s="97" t="s">
        <v>19</v>
      </c>
      <c r="C10" s="88">
        <v>23.55</v>
      </c>
      <c r="D10" s="89" t="s">
        <v>15</v>
      </c>
      <c r="E10" s="90">
        <v>2792.35</v>
      </c>
      <c r="F10" s="91">
        <v>7.53</v>
      </c>
      <c r="G10" s="92">
        <f t="shared" si="0"/>
        <v>21026.39</v>
      </c>
      <c r="I10" s="4">
        <f t="shared" si="1"/>
        <v>1.8437170286654371E-4</v>
      </c>
    </row>
    <row r="11" spans="1:9">
      <c r="A11" s="96">
        <v>40016</v>
      </c>
      <c r="B11" s="97" t="s">
        <v>20</v>
      </c>
      <c r="C11" s="88">
        <v>23.55</v>
      </c>
      <c r="D11" s="89" t="s">
        <v>15</v>
      </c>
      <c r="E11" s="90">
        <v>10054.5</v>
      </c>
      <c r="F11" s="91">
        <v>8.7200000000000006</v>
      </c>
      <c r="G11" s="92">
        <f t="shared" si="0"/>
        <v>87675.24</v>
      </c>
      <c r="I11" s="4">
        <f t="shared" si="1"/>
        <v>7.6878785649999403E-4</v>
      </c>
    </row>
    <row r="12" spans="1:9">
      <c r="A12" s="96">
        <v>40017</v>
      </c>
      <c r="B12" s="97" t="s">
        <v>21</v>
      </c>
      <c r="C12" s="88">
        <v>23.55</v>
      </c>
      <c r="D12" s="89" t="s">
        <v>15</v>
      </c>
      <c r="E12" s="90">
        <v>1935.98</v>
      </c>
      <c r="F12" s="91">
        <v>9.25</v>
      </c>
      <c r="G12" s="92">
        <f t="shared" si="0"/>
        <v>17907.810000000001</v>
      </c>
      <c r="I12" s="4">
        <f t="shared" si="1"/>
        <v>1.5702616684606918E-4</v>
      </c>
    </row>
    <row r="13" spans="1:9">
      <c r="A13" s="96">
        <v>40018</v>
      </c>
      <c r="B13" s="97" t="s">
        <v>22</v>
      </c>
      <c r="C13" s="88">
        <v>23.55</v>
      </c>
      <c r="D13" s="89" t="s">
        <v>15</v>
      </c>
      <c r="E13" s="90">
        <v>36520.94</v>
      </c>
      <c r="F13" s="91">
        <v>10.39</v>
      </c>
      <c r="G13" s="92">
        <f t="shared" si="0"/>
        <v>379452.56</v>
      </c>
      <c r="I13" s="4">
        <f t="shared" si="1"/>
        <v>3.3272622948717946E-3</v>
      </c>
    </row>
    <row r="14" spans="1:9">
      <c r="A14" s="96">
        <v>40019</v>
      </c>
      <c r="B14" s="97" t="s">
        <v>23</v>
      </c>
      <c r="C14" s="88">
        <v>23.55</v>
      </c>
      <c r="D14" s="89" t="s">
        <v>15</v>
      </c>
      <c r="E14" s="90">
        <v>39.35</v>
      </c>
      <c r="F14" s="91">
        <v>10.99</v>
      </c>
      <c r="G14" s="92">
        <f t="shared" si="0"/>
        <v>432.45</v>
      </c>
      <c r="I14" s="4">
        <f t="shared" si="1"/>
        <v>3.7919748898711015E-6</v>
      </c>
    </row>
    <row r="15" spans="1:9">
      <c r="A15" s="96">
        <v>40020</v>
      </c>
      <c r="B15" s="97" t="s">
        <v>24</v>
      </c>
      <c r="C15" s="88">
        <v>23.55</v>
      </c>
      <c r="D15" s="89" t="s">
        <v>15</v>
      </c>
      <c r="E15" s="90">
        <v>5679.17</v>
      </c>
      <c r="F15" s="91">
        <v>11.55</v>
      </c>
      <c r="G15" s="92">
        <f t="shared" si="0"/>
        <v>65594.41</v>
      </c>
      <c r="I15" s="4">
        <f t="shared" si="1"/>
        <v>5.7517020611841808E-4</v>
      </c>
    </row>
    <row r="16" spans="1:9">
      <c r="A16" s="96">
        <v>40021</v>
      </c>
      <c r="B16" s="97" t="s">
        <v>25</v>
      </c>
      <c r="C16" s="88">
        <v>23.55</v>
      </c>
      <c r="D16" s="89" t="s">
        <v>15</v>
      </c>
      <c r="E16" s="90">
        <v>27648</v>
      </c>
      <c r="F16" s="91">
        <v>12.52</v>
      </c>
      <c r="G16" s="92">
        <f t="shared" si="0"/>
        <v>346152.96000000002</v>
      </c>
      <c r="I16" s="4">
        <f t="shared" si="1"/>
        <v>3.0352718981952963E-3</v>
      </c>
    </row>
    <row r="17" spans="1:12">
      <c r="A17" s="96">
        <v>40022</v>
      </c>
      <c r="B17" s="97" t="s">
        <v>26</v>
      </c>
      <c r="C17" s="88">
        <v>23.55</v>
      </c>
      <c r="D17" s="89" t="s">
        <v>15</v>
      </c>
      <c r="E17" s="90">
        <v>110.27</v>
      </c>
      <c r="F17" s="91">
        <v>12.92</v>
      </c>
      <c r="G17" s="92">
        <f t="shared" si="0"/>
        <v>1424.68</v>
      </c>
      <c r="I17" s="4">
        <f t="shared" si="1"/>
        <v>1.2492428687944413E-5</v>
      </c>
    </row>
    <row r="18" spans="1:12">
      <c r="A18" s="96">
        <v>40023</v>
      </c>
      <c r="B18" s="97" t="s">
        <v>27</v>
      </c>
      <c r="C18" s="88">
        <v>23.55</v>
      </c>
      <c r="D18" s="89" t="s">
        <v>15</v>
      </c>
      <c r="E18" s="90">
        <v>64099.29</v>
      </c>
      <c r="F18" s="91">
        <v>13.26</v>
      </c>
      <c r="G18" s="92">
        <f t="shared" si="0"/>
        <v>849956.58</v>
      </c>
      <c r="I18" s="4">
        <f t="shared" si="1"/>
        <v>7.4529171206861328E-3</v>
      </c>
    </row>
    <row r="19" spans="1:12">
      <c r="A19" s="96">
        <v>40025</v>
      </c>
      <c r="B19" s="97" t="s">
        <v>28</v>
      </c>
      <c r="C19" s="88">
        <v>23.55</v>
      </c>
      <c r="D19" s="89" t="s">
        <v>15</v>
      </c>
      <c r="E19" s="90">
        <v>114643.43</v>
      </c>
      <c r="F19" s="91">
        <v>16.5</v>
      </c>
      <c r="G19" s="92">
        <f t="shared" si="0"/>
        <v>1891616.59</v>
      </c>
      <c r="I19" s="4">
        <f t="shared" si="1"/>
        <v>1.6586802198042778E-2</v>
      </c>
    </row>
    <row r="20" spans="1:12" s="7" customFormat="1">
      <c r="A20" s="96">
        <v>40026</v>
      </c>
      <c r="B20" s="97" t="s">
        <v>29</v>
      </c>
      <c r="C20" s="88">
        <v>23.55</v>
      </c>
      <c r="D20" s="89" t="s">
        <v>15</v>
      </c>
      <c r="E20" s="90">
        <v>177125.66</v>
      </c>
      <c r="F20" s="91">
        <v>23.09</v>
      </c>
      <c r="G20" s="92">
        <f t="shared" si="0"/>
        <v>4089831.48</v>
      </c>
      <c r="H20" s="6"/>
      <c r="I20" s="5">
        <f t="shared" si="1"/>
        <v>3.5862037867879212E-2</v>
      </c>
      <c r="J20" s="6"/>
      <c r="K20" s="6"/>
      <c r="L20" s="6"/>
    </row>
    <row r="21" spans="1:12" s="7" customFormat="1">
      <c r="A21" s="96">
        <v>40027</v>
      </c>
      <c r="B21" s="97" t="s">
        <v>30</v>
      </c>
      <c r="C21" s="88">
        <v>23.55</v>
      </c>
      <c r="D21" s="89" t="s">
        <v>15</v>
      </c>
      <c r="E21" s="90">
        <v>229811.52</v>
      </c>
      <c r="F21" s="91">
        <v>31.52</v>
      </c>
      <c r="G21" s="92">
        <f t="shared" si="0"/>
        <v>7243659.1100000003</v>
      </c>
      <c r="H21" s="6"/>
      <c r="I21" s="5">
        <f t="shared" si="1"/>
        <v>6.3516645753049036E-2</v>
      </c>
      <c r="J21" s="6"/>
      <c r="K21" s="6"/>
      <c r="L21" s="6"/>
    </row>
    <row r="22" spans="1:12" ht="10.35" customHeight="1">
      <c r="A22" s="96">
        <v>40100</v>
      </c>
      <c r="B22" s="97" t="s">
        <v>31</v>
      </c>
      <c r="C22" s="88">
        <v>23.55</v>
      </c>
      <c r="D22" s="89" t="s">
        <v>15</v>
      </c>
      <c r="E22" s="90">
        <v>446222.47</v>
      </c>
      <c r="F22" s="91">
        <v>5.0199999999999996</v>
      </c>
      <c r="G22" s="92">
        <f t="shared" si="0"/>
        <v>2240036.79</v>
      </c>
      <c r="I22" s="4">
        <f t="shared" si="1"/>
        <v>1.964195458450102E-2</v>
      </c>
    </row>
    <row r="23" spans="1:12" ht="10.35" customHeight="1">
      <c r="A23" s="96">
        <v>40101</v>
      </c>
      <c r="B23" s="97" t="s">
        <v>32</v>
      </c>
      <c r="C23" s="88">
        <v>23.55</v>
      </c>
      <c r="D23" s="89" t="s">
        <v>15</v>
      </c>
      <c r="E23" s="90">
        <v>137980.72</v>
      </c>
      <c r="F23" s="91">
        <v>5.58</v>
      </c>
      <c r="G23" s="92">
        <f t="shared" si="0"/>
        <v>769932.41</v>
      </c>
      <c r="I23" s="4">
        <f t="shared" si="1"/>
        <v>6.7512183272469464E-3</v>
      </c>
    </row>
    <row r="24" spans="1:12" ht="10.35" customHeight="1">
      <c r="A24" s="96">
        <v>40120</v>
      </c>
      <c r="B24" s="97" t="s">
        <v>33</v>
      </c>
      <c r="C24" s="88">
        <v>23.55</v>
      </c>
      <c r="D24" s="89" t="s">
        <v>11</v>
      </c>
      <c r="E24" s="90">
        <v>516000</v>
      </c>
      <c r="F24" s="91">
        <v>0.42</v>
      </c>
      <c r="G24" s="92">
        <f t="shared" si="0"/>
        <v>216720</v>
      </c>
      <c r="I24" s="4">
        <f t="shared" si="1"/>
        <v>1.900327894861522E-3</v>
      </c>
    </row>
    <row r="25" spans="1:12" ht="10.35" customHeight="1">
      <c r="A25" s="96">
        <v>40145</v>
      </c>
      <c r="B25" s="97" t="s">
        <v>34</v>
      </c>
      <c r="C25" s="88">
        <v>23.55</v>
      </c>
      <c r="D25" s="89" t="s">
        <v>15</v>
      </c>
      <c r="E25" s="90">
        <v>77898.58</v>
      </c>
      <c r="F25" s="91">
        <v>2</v>
      </c>
      <c r="G25" s="92">
        <f t="shared" si="0"/>
        <v>155797.16</v>
      </c>
      <c r="I25" s="4">
        <f t="shared" si="1"/>
        <v>1.3661207506838488E-3</v>
      </c>
    </row>
    <row r="26" spans="1:12" ht="10.9" customHeight="1">
      <c r="A26" s="85"/>
      <c r="B26" s="76"/>
      <c r="C26" s="101"/>
      <c r="D26" s="101"/>
      <c r="E26" s="105"/>
      <c r="F26" s="105"/>
      <c r="G26" s="105"/>
      <c r="I26" s="4"/>
    </row>
    <row r="27" spans="1:12" ht="10.35" customHeight="1">
      <c r="A27" s="83"/>
      <c r="B27" s="78" t="s">
        <v>35</v>
      </c>
      <c r="C27" s="100"/>
      <c r="D27" s="100"/>
      <c r="E27" s="104"/>
      <c r="F27" s="104"/>
      <c r="G27" s="104"/>
      <c r="I27" s="4"/>
    </row>
    <row r="28" spans="1:12">
      <c r="A28" s="84">
        <v>40001</v>
      </c>
      <c r="B28" s="75" t="s">
        <v>10</v>
      </c>
      <c r="C28" s="88">
        <v>23.55</v>
      </c>
      <c r="D28" s="89" t="s">
        <v>11</v>
      </c>
      <c r="E28" s="106">
        <v>240000</v>
      </c>
      <c r="F28" s="91">
        <v>0.54</v>
      </c>
      <c r="G28" s="92">
        <f t="shared" ref="G28:G46" si="2">TRUNC(E28*F28,2)</f>
        <v>129600</v>
      </c>
      <c r="I28" s="4">
        <f t="shared" si="1"/>
        <v>1.1364087078906111E-3</v>
      </c>
    </row>
    <row r="29" spans="1:12">
      <c r="A29" s="84">
        <v>40003</v>
      </c>
      <c r="B29" s="75" t="s">
        <v>12</v>
      </c>
      <c r="C29" s="88">
        <v>23.55</v>
      </c>
      <c r="D29" s="89" t="s">
        <v>13</v>
      </c>
      <c r="E29" s="107">
        <v>28</v>
      </c>
      <c r="F29" s="91">
        <v>40.78</v>
      </c>
      <c r="G29" s="92">
        <f t="shared" si="2"/>
        <v>1141.8399999999999</v>
      </c>
      <c r="I29" s="4">
        <f t="shared" si="1"/>
        <v>1.0012321906001661E-5</v>
      </c>
    </row>
    <row r="30" spans="1:12" ht="10.35" customHeight="1">
      <c r="A30" s="84">
        <v>40005</v>
      </c>
      <c r="B30" s="75" t="s">
        <v>14</v>
      </c>
      <c r="C30" s="88">
        <v>23.55</v>
      </c>
      <c r="D30" s="89" t="s">
        <v>15</v>
      </c>
      <c r="E30" s="108">
        <v>25878.19</v>
      </c>
      <c r="F30" s="91">
        <v>2.52</v>
      </c>
      <c r="G30" s="92">
        <f t="shared" si="2"/>
        <v>65213.03</v>
      </c>
      <c r="I30" s="4">
        <f t="shared" si="1"/>
        <v>5.7182604290070718E-4</v>
      </c>
    </row>
    <row r="31" spans="1:12" ht="10.35" customHeight="1">
      <c r="A31" s="84">
        <v>40006</v>
      </c>
      <c r="B31" s="75" t="s">
        <v>16</v>
      </c>
      <c r="C31" s="88">
        <v>23.55</v>
      </c>
      <c r="D31" s="89" t="s">
        <v>17</v>
      </c>
      <c r="E31" s="106">
        <v>273696.31</v>
      </c>
      <c r="F31" s="91">
        <v>2.4300000000000002</v>
      </c>
      <c r="G31" s="92">
        <f t="shared" si="2"/>
        <v>665082.03</v>
      </c>
      <c r="I31" s="4">
        <f t="shared" si="1"/>
        <v>5.8318287835923202E-3</v>
      </c>
    </row>
    <row r="32" spans="1:12">
      <c r="A32" s="84">
        <v>40010</v>
      </c>
      <c r="B32" s="75" t="s">
        <v>18</v>
      </c>
      <c r="C32" s="88">
        <v>23.55</v>
      </c>
      <c r="D32" s="89" t="s">
        <v>15</v>
      </c>
      <c r="E32" s="109">
        <v>1616.86</v>
      </c>
      <c r="F32" s="91">
        <v>2.97</v>
      </c>
      <c r="G32" s="92">
        <f t="shared" si="2"/>
        <v>4802.07</v>
      </c>
      <c r="I32" s="4">
        <f t="shared" si="1"/>
        <v>4.2107362375773664E-5</v>
      </c>
    </row>
    <row r="33" spans="1:10">
      <c r="A33" s="84">
        <v>40015</v>
      </c>
      <c r="B33" s="75" t="s">
        <v>19</v>
      </c>
      <c r="C33" s="88">
        <v>23.55</v>
      </c>
      <c r="D33" s="89" t="s">
        <v>15</v>
      </c>
      <c r="E33" s="107">
        <v>55.34</v>
      </c>
      <c r="F33" s="91">
        <v>7.53</v>
      </c>
      <c r="G33" s="92">
        <f t="shared" si="2"/>
        <v>416.71</v>
      </c>
      <c r="I33" s="4">
        <f t="shared" si="1"/>
        <v>3.65395735081093E-6</v>
      </c>
    </row>
    <row r="34" spans="1:10">
      <c r="A34" s="84">
        <v>40016</v>
      </c>
      <c r="B34" s="75" t="s">
        <v>20</v>
      </c>
      <c r="C34" s="88">
        <v>23.55</v>
      </c>
      <c r="D34" s="89" t="s">
        <v>15</v>
      </c>
      <c r="E34" s="110">
        <v>266.10000000000002</v>
      </c>
      <c r="F34" s="91">
        <v>8.7200000000000006</v>
      </c>
      <c r="G34" s="92">
        <f t="shared" si="2"/>
        <v>2320.39</v>
      </c>
      <c r="I34" s="4">
        <f t="shared" si="1"/>
        <v>2.0346538593381904E-5</v>
      </c>
    </row>
    <row r="35" spans="1:10">
      <c r="A35" s="84">
        <v>40017</v>
      </c>
      <c r="B35" s="75" t="s">
        <v>21</v>
      </c>
      <c r="C35" s="88">
        <v>23.55</v>
      </c>
      <c r="D35" s="89" t="s">
        <v>15</v>
      </c>
      <c r="E35" s="107">
        <v>22.04</v>
      </c>
      <c r="F35" s="91">
        <v>9.25</v>
      </c>
      <c r="G35" s="92">
        <f t="shared" si="2"/>
        <v>203.87</v>
      </c>
      <c r="I35" s="4">
        <f t="shared" si="1"/>
        <v>1.7876515685004545E-6</v>
      </c>
    </row>
    <row r="36" spans="1:10">
      <c r="A36" s="84">
        <v>40018</v>
      </c>
      <c r="B36" s="75" t="s">
        <v>22</v>
      </c>
      <c r="C36" s="88">
        <v>23.55</v>
      </c>
      <c r="D36" s="89" t="s">
        <v>15</v>
      </c>
      <c r="E36" s="110">
        <v>983.13</v>
      </c>
      <c r="F36" s="91">
        <v>10.39</v>
      </c>
      <c r="G36" s="92">
        <f t="shared" si="2"/>
        <v>10214.719999999999</v>
      </c>
      <c r="I36" s="4">
        <f t="shared" si="1"/>
        <v>8.9568647813768388E-5</v>
      </c>
    </row>
    <row r="37" spans="1:10">
      <c r="A37" s="84">
        <v>40019</v>
      </c>
      <c r="B37" s="75" t="s">
        <v>23</v>
      </c>
      <c r="C37" s="88">
        <v>23.55</v>
      </c>
      <c r="D37" s="89" t="s">
        <v>15</v>
      </c>
      <c r="E37" s="107">
        <v>32.869999999999997</v>
      </c>
      <c r="F37" s="91">
        <v>10.99</v>
      </c>
      <c r="G37" s="92">
        <f t="shared" si="2"/>
        <v>361.24</v>
      </c>
      <c r="I37" s="4">
        <f t="shared" si="1"/>
        <v>3.167563901530898E-6</v>
      </c>
    </row>
    <row r="38" spans="1:10">
      <c r="A38" s="84">
        <v>40021</v>
      </c>
      <c r="B38" s="75" t="s">
        <v>25</v>
      </c>
      <c r="C38" s="88">
        <v>23.55</v>
      </c>
      <c r="D38" s="89" t="s">
        <v>15</v>
      </c>
      <c r="E38" s="107">
        <v>94.6</v>
      </c>
      <c r="F38" s="91">
        <v>12.52</v>
      </c>
      <c r="G38" s="92">
        <f t="shared" si="2"/>
        <v>1184.3900000000001</v>
      </c>
      <c r="I38" s="4">
        <f t="shared" si="1"/>
        <v>1.0385425227920995E-5</v>
      </c>
    </row>
    <row r="39" spans="1:10">
      <c r="A39" s="84">
        <v>40024</v>
      </c>
      <c r="B39" s="75" t="s">
        <v>36</v>
      </c>
      <c r="C39" s="88">
        <v>23.55</v>
      </c>
      <c r="D39" s="89" t="s">
        <v>15</v>
      </c>
      <c r="E39" s="109">
        <v>1343.95</v>
      </c>
      <c r="F39" s="91">
        <v>14.38</v>
      </c>
      <c r="G39" s="92">
        <f t="shared" si="2"/>
        <v>19326</v>
      </c>
      <c r="I39" s="4">
        <f t="shared" si="1"/>
        <v>1.6946168741276195E-4</v>
      </c>
    </row>
    <row r="40" spans="1:10">
      <c r="A40" s="84">
        <v>40025</v>
      </c>
      <c r="B40" s="75" t="s">
        <v>28</v>
      </c>
      <c r="C40" s="88">
        <v>23.55</v>
      </c>
      <c r="D40" s="89" t="s">
        <v>15</v>
      </c>
      <c r="E40" s="110">
        <v>763.23</v>
      </c>
      <c r="F40" s="91">
        <v>16.5</v>
      </c>
      <c r="G40" s="92">
        <f t="shared" si="2"/>
        <v>12593.29</v>
      </c>
      <c r="I40" s="4">
        <f t="shared" si="1"/>
        <v>1.1042534272370181E-4</v>
      </c>
    </row>
    <row r="41" spans="1:10">
      <c r="A41" s="84">
        <v>40026</v>
      </c>
      <c r="B41" s="75" t="s">
        <v>29</v>
      </c>
      <c r="C41" s="88">
        <v>23.55</v>
      </c>
      <c r="D41" s="89" t="s">
        <v>15</v>
      </c>
      <c r="E41" s="109">
        <v>4127.38</v>
      </c>
      <c r="F41" s="91">
        <v>23.09</v>
      </c>
      <c r="G41" s="92">
        <f t="shared" si="2"/>
        <v>95301.2</v>
      </c>
      <c r="I41" s="4">
        <f t="shared" si="1"/>
        <v>8.3565674037364742E-4</v>
      </c>
    </row>
    <row r="42" spans="1:10">
      <c r="A42" s="84">
        <v>40027</v>
      </c>
      <c r="B42" s="75" t="s">
        <v>30</v>
      </c>
      <c r="C42" s="88">
        <v>23.55</v>
      </c>
      <c r="D42" s="89" t="s">
        <v>15</v>
      </c>
      <c r="E42" s="108">
        <v>68771.41</v>
      </c>
      <c r="F42" s="91">
        <v>31.52</v>
      </c>
      <c r="G42" s="92">
        <f t="shared" si="2"/>
        <v>2167674.84</v>
      </c>
      <c r="I42" s="4">
        <f t="shared" si="1"/>
        <v>1.9007442623853295E-2</v>
      </c>
    </row>
    <row r="43" spans="1:10" ht="10.35" customHeight="1">
      <c r="A43" s="84">
        <v>40100</v>
      </c>
      <c r="B43" s="75" t="s">
        <v>31</v>
      </c>
      <c r="C43" s="88">
        <v>23.55</v>
      </c>
      <c r="D43" s="89" t="s">
        <v>15</v>
      </c>
      <c r="E43" s="108">
        <v>43680.69</v>
      </c>
      <c r="F43" s="91">
        <v>5.0199999999999996</v>
      </c>
      <c r="G43" s="92">
        <f t="shared" si="2"/>
        <v>219277.06</v>
      </c>
      <c r="I43" s="4">
        <f t="shared" si="1"/>
        <v>1.9227496946346604E-3</v>
      </c>
    </row>
    <row r="44" spans="1:10" ht="10.35" customHeight="1">
      <c r="A44" s="84">
        <v>40101</v>
      </c>
      <c r="B44" s="75" t="s">
        <v>32</v>
      </c>
      <c r="C44" s="88">
        <v>23.55</v>
      </c>
      <c r="D44" s="89" t="s">
        <v>15</v>
      </c>
      <c r="E44" s="108">
        <v>19908</v>
      </c>
      <c r="F44" s="91">
        <v>5.58</v>
      </c>
      <c r="G44" s="92">
        <f t="shared" si="2"/>
        <v>111086.64</v>
      </c>
      <c r="I44" s="4">
        <f t="shared" si="1"/>
        <v>9.7407272396843726E-4</v>
      </c>
    </row>
    <row r="45" spans="1:10" ht="10.35" customHeight="1">
      <c r="A45" s="84">
        <v>40120</v>
      </c>
      <c r="B45" s="75" t="s">
        <v>33</v>
      </c>
      <c r="C45" s="88">
        <v>23.55</v>
      </c>
      <c r="D45" s="89" t="s">
        <v>11</v>
      </c>
      <c r="E45" s="106">
        <v>240000</v>
      </c>
      <c r="F45" s="91">
        <v>0.42</v>
      </c>
      <c r="G45" s="92">
        <f t="shared" si="2"/>
        <v>100800</v>
      </c>
      <c r="I45" s="4">
        <f t="shared" si="1"/>
        <v>8.8387343947047528E-4</v>
      </c>
    </row>
    <row r="46" spans="1:10" ht="10.35" customHeight="1">
      <c r="A46" s="84">
        <v>40145</v>
      </c>
      <c r="B46" s="75" t="s">
        <v>34</v>
      </c>
      <c r="C46" s="88">
        <v>23.55</v>
      </c>
      <c r="D46" s="89" t="s">
        <v>15</v>
      </c>
      <c r="E46" s="108">
        <v>25878.19</v>
      </c>
      <c r="F46" s="91">
        <v>2</v>
      </c>
      <c r="G46" s="92">
        <f t="shared" si="2"/>
        <v>51756.38</v>
      </c>
      <c r="I46" s="4">
        <f t="shared" si="1"/>
        <v>4.5383025401925513E-4</v>
      </c>
    </row>
    <row r="47" spans="1:10" ht="10.9" customHeight="1">
      <c r="A47" s="85"/>
      <c r="B47" s="76"/>
      <c r="C47" s="101"/>
      <c r="D47" s="101"/>
      <c r="E47" s="105"/>
      <c r="F47" s="105"/>
      <c r="G47" s="105"/>
      <c r="I47" s="4"/>
    </row>
    <row r="48" spans="1:10" ht="10.35" customHeight="1">
      <c r="A48" s="86" t="s">
        <v>37</v>
      </c>
      <c r="B48" s="79"/>
      <c r="C48" s="101"/>
      <c r="D48" s="101"/>
      <c r="E48" s="105"/>
      <c r="F48" s="105"/>
      <c r="G48" s="121">
        <f>SUM(G5:G25,G28:G46)</f>
        <v>23216008.41</v>
      </c>
      <c r="I48" s="4"/>
      <c r="J48" s="12">
        <f>G48</f>
        <v>23216008.41</v>
      </c>
    </row>
    <row r="49" spans="1:12" ht="10.9" customHeight="1">
      <c r="A49" s="85"/>
      <c r="B49" s="76"/>
      <c r="C49" s="101"/>
      <c r="D49" s="101"/>
      <c r="E49" s="105"/>
      <c r="F49" s="105"/>
      <c r="G49" s="105"/>
      <c r="I49" s="4"/>
    </row>
    <row r="50" spans="1:12" ht="10.9" customHeight="1">
      <c r="A50" s="85"/>
      <c r="B50" s="76"/>
      <c r="C50" s="101"/>
      <c r="D50" s="101"/>
      <c r="E50" s="105"/>
      <c r="F50" s="105"/>
      <c r="G50" s="105"/>
      <c r="I50" s="4"/>
    </row>
    <row r="51" spans="1:12" ht="10.35" customHeight="1">
      <c r="A51" s="82" t="s">
        <v>1</v>
      </c>
      <c r="B51" s="77" t="s">
        <v>2</v>
      </c>
      <c r="C51" s="99" t="s">
        <v>3</v>
      </c>
      <c r="D51" s="99" t="s">
        <v>4</v>
      </c>
      <c r="E51" s="103" t="s">
        <v>5</v>
      </c>
      <c r="F51" s="103" t="s">
        <v>6</v>
      </c>
      <c r="G51" s="103" t="s">
        <v>7</v>
      </c>
      <c r="I51" s="4"/>
    </row>
    <row r="52" spans="1:12" ht="10.35" customHeight="1">
      <c r="A52" s="83"/>
      <c r="B52" s="78" t="s">
        <v>253</v>
      </c>
      <c r="C52" s="100"/>
      <c r="D52" s="100"/>
      <c r="E52" s="104"/>
      <c r="F52" s="104"/>
      <c r="G52" s="104"/>
      <c r="I52" s="4"/>
    </row>
    <row r="53" spans="1:12" ht="10.9" customHeight="1">
      <c r="A53" s="85"/>
      <c r="B53" s="76"/>
      <c r="C53" s="101"/>
      <c r="D53" s="101"/>
      <c r="E53" s="105"/>
      <c r="F53" s="105"/>
      <c r="G53" s="105"/>
      <c r="I53" s="4"/>
    </row>
    <row r="54" spans="1:12" ht="10.35" customHeight="1">
      <c r="A54" s="83"/>
      <c r="B54" s="78" t="s">
        <v>38</v>
      </c>
      <c r="C54" s="100"/>
      <c r="D54" s="100"/>
      <c r="E54" s="104"/>
      <c r="F54" s="104"/>
      <c r="G54" s="104"/>
      <c r="I54" s="4"/>
    </row>
    <row r="55" spans="1:12" ht="10.9" customHeight="1">
      <c r="A55" s="84">
        <v>40310</v>
      </c>
      <c r="B55" s="75" t="s">
        <v>39</v>
      </c>
      <c r="C55" s="88">
        <v>23.55</v>
      </c>
      <c r="D55" s="89" t="s">
        <v>11</v>
      </c>
      <c r="E55" s="106">
        <v>225215.82</v>
      </c>
      <c r="F55" s="91">
        <v>2.85</v>
      </c>
      <c r="G55" s="92">
        <f t="shared" ref="G55:G64" si="3">TRUNC(E55*F55,2)</f>
        <v>641865.07999999996</v>
      </c>
      <c r="I55" s="4">
        <f t="shared" si="1"/>
        <v>5.6282489676149974E-3</v>
      </c>
    </row>
    <row r="56" spans="1:12" s="7" customFormat="1" ht="10.35" customHeight="1">
      <c r="A56" s="87" t="s">
        <v>40</v>
      </c>
      <c r="B56" s="75" t="s">
        <v>41</v>
      </c>
      <c r="C56" s="88">
        <v>23.55</v>
      </c>
      <c r="D56" s="89" t="s">
        <v>15</v>
      </c>
      <c r="E56" s="108">
        <v>37293.22</v>
      </c>
      <c r="F56" s="91">
        <v>156.5</v>
      </c>
      <c r="G56" s="92">
        <f t="shared" si="3"/>
        <v>5836388.9299999997</v>
      </c>
      <c r="H56" s="6"/>
      <c r="I56" s="5">
        <f t="shared" si="1"/>
        <v>5.1176876563953443E-2</v>
      </c>
      <c r="J56" s="6"/>
      <c r="K56" s="6"/>
      <c r="L56" s="6"/>
    </row>
    <row r="57" spans="1:12" ht="10.35" customHeight="1">
      <c r="A57" s="87" t="s">
        <v>42</v>
      </c>
      <c r="B57" s="75" t="s">
        <v>43</v>
      </c>
      <c r="C57" s="88">
        <v>23.55</v>
      </c>
      <c r="D57" s="89" t="s">
        <v>15</v>
      </c>
      <c r="E57" s="109">
        <v>5047.59</v>
      </c>
      <c r="F57" s="91">
        <v>106.43</v>
      </c>
      <c r="G57" s="92">
        <f t="shared" si="3"/>
        <v>537215</v>
      </c>
      <c r="I57" s="4">
        <f t="shared" si="1"/>
        <v>4.7106157716778905E-3</v>
      </c>
    </row>
    <row r="58" spans="1:12" s="7" customFormat="1">
      <c r="A58" s="84">
        <v>40607</v>
      </c>
      <c r="B58" s="75" t="s">
        <v>44</v>
      </c>
      <c r="C58" s="88">
        <v>23.55</v>
      </c>
      <c r="D58" s="89" t="s">
        <v>15</v>
      </c>
      <c r="E58" s="108">
        <v>40972.44</v>
      </c>
      <c r="F58" s="91">
        <v>171.7</v>
      </c>
      <c r="G58" s="92">
        <f t="shared" si="3"/>
        <v>7034967.9400000004</v>
      </c>
      <c r="H58" s="6"/>
      <c r="I58" s="5">
        <f t="shared" si="1"/>
        <v>6.168671934218576E-2</v>
      </c>
      <c r="J58" s="6"/>
      <c r="K58" s="6"/>
      <c r="L58" s="6"/>
    </row>
    <row r="59" spans="1:12" ht="10.35" customHeight="1">
      <c r="A59" s="84">
        <v>40380</v>
      </c>
      <c r="B59" s="75" t="s">
        <v>45</v>
      </c>
      <c r="C59" s="88">
        <v>23.55</v>
      </c>
      <c r="D59" s="89" t="s">
        <v>11</v>
      </c>
      <c r="E59" s="106">
        <v>209199.02</v>
      </c>
      <c r="F59" s="91">
        <v>0.46</v>
      </c>
      <c r="G59" s="92">
        <f t="shared" si="3"/>
        <v>96231.54</v>
      </c>
      <c r="I59" s="4">
        <f t="shared" si="1"/>
        <v>8.4381450640218865E-4</v>
      </c>
    </row>
    <row r="60" spans="1:12" ht="10.35" customHeight="1">
      <c r="A60" s="84">
        <v>40385</v>
      </c>
      <c r="B60" s="75" t="s">
        <v>46</v>
      </c>
      <c r="C60" s="88">
        <v>23.55</v>
      </c>
      <c r="D60" s="89" t="s">
        <v>11</v>
      </c>
      <c r="E60" s="106">
        <v>567819.16</v>
      </c>
      <c r="F60" s="91">
        <v>0.38</v>
      </c>
      <c r="G60" s="92">
        <f t="shared" si="3"/>
        <v>215771.28</v>
      </c>
      <c r="I60" s="4">
        <f t="shared" si="1"/>
        <v>1.8920089622276486E-3</v>
      </c>
    </row>
    <row r="61" spans="1:12" s="7" customFormat="1" ht="10.35" customHeight="1">
      <c r="A61" s="84">
        <v>40602</v>
      </c>
      <c r="B61" s="75" t="s">
        <v>47</v>
      </c>
      <c r="C61" s="88">
        <v>23.55</v>
      </c>
      <c r="D61" s="89" t="s">
        <v>15</v>
      </c>
      <c r="E61" s="108">
        <v>19660.22</v>
      </c>
      <c r="F61" s="91">
        <v>391.71</v>
      </c>
      <c r="G61" s="92">
        <f t="shared" si="3"/>
        <v>7701104.7699999996</v>
      </c>
      <c r="H61" s="6"/>
      <c r="I61" s="4">
        <f t="shared" si="1"/>
        <v>6.7527797229983963E-2</v>
      </c>
      <c r="J61" s="6"/>
      <c r="K61" s="6"/>
      <c r="L61" s="6"/>
    </row>
    <row r="62" spans="1:12" ht="10.35" customHeight="1">
      <c r="A62" s="84">
        <v>40618</v>
      </c>
      <c r="B62" s="75" t="s">
        <v>48</v>
      </c>
      <c r="C62" s="88">
        <v>23.55</v>
      </c>
      <c r="D62" s="89" t="s">
        <v>15</v>
      </c>
      <c r="E62" s="109">
        <v>3838.96</v>
      </c>
      <c r="F62" s="91">
        <v>389.92</v>
      </c>
      <c r="G62" s="92">
        <f t="shared" si="3"/>
        <v>1496887.28</v>
      </c>
      <c r="I62" s="4">
        <f t="shared" si="1"/>
        <v>1.312558441144052E-2</v>
      </c>
    </row>
    <row r="63" spans="1:12">
      <c r="A63" s="84">
        <v>40425</v>
      </c>
      <c r="B63" s="75" t="s">
        <v>49</v>
      </c>
      <c r="C63" s="88">
        <v>23.55</v>
      </c>
      <c r="D63" s="89" t="s">
        <v>15</v>
      </c>
      <c r="E63" s="109">
        <v>5017.12</v>
      </c>
      <c r="F63" s="91">
        <v>9.1300000000000008</v>
      </c>
      <c r="G63" s="92">
        <f t="shared" si="3"/>
        <v>45806.3</v>
      </c>
      <c r="I63" s="4">
        <f t="shared" si="1"/>
        <v>4.0165646756365513E-4</v>
      </c>
    </row>
    <row r="64" spans="1:12">
      <c r="A64" s="87" t="s">
        <v>50</v>
      </c>
      <c r="B64" s="75" t="s">
        <v>51</v>
      </c>
      <c r="C64" s="88">
        <v>23.55</v>
      </c>
      <c r="D64" s="89" t="s">
        <v>15</v>
      </c>
      <c r="E64" s="108">
        <v>24156.03</v>
      </c>
      <c r="F64" s="91">
        <v>3.03</v>
      </c>
      <c r="G64" s="92">
        <f t="shared" si="3"/>
        <v>73192.77</v>
      </c>
      <c r="I64" s="4">
        <f t="shared" si="1"/>
        <v>6.417970770265022E-4</v>
      </c>
    </row>
    <row r="65" spans="1:12" ht="20.45" customHeight="1">
      <c r="A65" s="85"/>
      <c r="B65" s="76"/>
      <c r="C65" s="101"/>
      <c r="D65" s="101"/>
      <c r="E65" s="105"/>
      <c r="F65" s="105"/>
      <c r="G65" s="105"/>
      <c r="I65" s="4"/>
    </row>
    <row r="66" spans="1:12" ht="20.45" customHeight="1">
      <c r="A66" s="83"/>
      <c r="B66" s="78" t="s">
        <v>52</v>
      </c>
      <c r="C66" s="100"/>
      <c r="D66" s="100"/>
      <c r="E66" s="104"/>
      <c r="F66" s="104"/>
      <c r="G66" s="104"/>
      <c r="I66" s="4"/>
    </row>
    <row r="67" spans="1:12" ht="10.9" customHeight="1">
      <c r="A67" s="84">
        <v>40480</v>
      </c>
      <c r="B67" s="75" t="s">
        <v>53</v>
      </c>
      <c r="C67" s="88">
        <v>13.8</v>
      </c>
      <c r="D67" s="89" t="s">
        <v>54</v>
      </c>
      <c r="E67" s="110">
        <v>251.04</v>
      </c>
      <c r="F67" s="91">
        <v>6850.8</v>
      </c>
      <c r="G67" s="92">
        <f t="shared" ref="G67:G70" si="4">TRUNC(E67*F67,2)</f>
        <v>1719824.83</v>
      </c>
      <c r="I67" s="4">
        <f t="shared" si="1"/>
        <v>1.5080431426377237E-2</v>
      </c>
    </row>
    <row r="68" spans="1:12" ht="10.35" customHeight="1">
      <c r="A68" s="84">
        <v>40510</v>
      </c>
      <c r="B68" s="75" t="s">
        <v>55</v>
      </c>
      <c r="C68" s="88">
        <v>13.8</v>
      </c>
      <c r="D68" s="89" t="s">
        <v>54</v>
      </c>
      <c r="E68" s="110">
        <v>283.91000000000003</v>
      </c>
      <c r="F68" s="91">
        <v>3728.17</v>
      </c>
      <c r="G68" s="92">
        <f t="shared" si="4"/>
        <v>1058464.74</v>
      </c>
      <c r="I68" s="4">
        <f t="shared" si="1"/>
        <v>9.2812387926787931E-3</v>
      </c>
    </row>
    <row r="69" spans="1:12" s="7" customFormat="1" ht="10.35" customHeight="1">
      <c r="A69" s="84">
        <v>40525</v>
      </c>
      <c r="B69" s="75" t="s">
        <v>56</v>
      </c>
      <c r="C69" s="88">
        <v>13.8</v>
      </c>
      <c r="D69" s="89" t="s">
        <v>54</v>
      </c>
      <c r="E69" s="109">
        <v>3337.81</v>
      </c>
      <c r="F69" s="91">
        <v>5248</v>
      </c>
      <c r="G69" s="92">
        <f t="shared" si="4"/>
        <v>17516826.879999999</v>
      </c>
      <c r="H69" s="6"/>
      <c r="I69" s="5">
        <f t="shared" si="1"/>
        <v>0.15359779784756422</v>
      </c>
      <c r="J69" s="6"/>
      <c r="K69" s="6"/>
      <c r="L69" s="6"/>
    </row>
    <row r="70" spans="1:12" ht="10.35" customHeight="1">
      <c r="A70" s="87" t="s">
        <v>57</v>
      </c>
      <c r="B70" s="75" t="s">
        <v>58</v>
      </c>
      <c r="C70" s="88">
        <v>23.55</v>
      </c>
      <c r="D70" s="89" t="s">
        <v>15</v>
      </c>
      <c r="E70" s="108">
        <v>24815.69</v>
      </c>
      <c r="F70" s="91">
        <v>17.600000000000001</v>
      </c>
      <c r="G70" s="92">
        <f t="shared" si="4"/>
        <v>436756.14</v>
      </c>
      <c r="I70" s="4">
        <f t="shared" ref="I70:I133" si="5">G70/$I$347</f>
        <v>3.8297336475361949E-3</v>
      </c>
    </row>
    <row r="71" spans="1:12" ht="10.35" customHeight="1">
      <c r="A71" s="85"/>
      <c r="B71" s="76"/>
      <c r="C71" s="101"/>
      <c r="D71" s="101"/>
      <c r="E71" s="105"/>
      <c r="F71" s="105"/>
      <c r="G71" s="105"/>
      <c r="I71" s="4">
        <f t="shared" si="5"/>
        <v>0</v>
      </c>
    </row>
    <row r="72" spans="1:12" ht="10.35" customHeight="1">
      <c r="A72" s="83"/>
      <c r="B72" s="78" t="s">
        <v>59</v>
      </c>
      <c r="C72" s="100"/>
      <c r="D72" s="100"/>
      <c r="E72" s="104"/>
      <c r="F72" s="104"/>
      <c r="G72" s="104"/>
      <c r="I72" s="4">
        <f t="shared" si="5"/>
        <v>0</v>
      </c>
    </row>
    <row r="73" spans="1:12" ht="10.9" customHeight="1">
      <c r="A73" s="84">
        <v>40430</v>
      </c>
      <c r="B73" s="75" t="s">
        <v>60</v>
      </c>
      <c r="C73" s="88">
        <v>23.55</v>
      </c>
      <c r="D73" s="89" t="s">
        <v>17</v>
      </c>
      <c r="E73" s="108">
        <v>96987.85</v>
      </c>
      <c r="F73" s="91">
        <v>3.03</v>
      </c>
      <c r="G73" s="92">
        <f t="shared" ref="G73:G80" si="6">TRUNC(E73*F73,2)</f>
        <v>293873.18</v>
      </c>
      <c r="I73" s="4">
        <f t="shared" si="5"/>
        <v>2.5768521664159333E-3</v>
      </c>
    </row>
    <row r="74" spans="1:12" s="7" customFormat="1" ht="10.35" customHeight="1">
      <c r="A74" s="84">
        <v>40455</v>
      </c>
      <c r="B74" s="75" t="s">
        <v>61</v>
      </c>
      <c r="C74" s="88">
        <v>23.55</v>
      </c>
      <c r="D74" s="89" t="s">
        <v>17</v>
      </c>
      <c r="E74" s="111">
        <v>4927761.3600000003</v>
      </c>
      <c r="F74" s="91">
        <v>1.3</v>
      </c>
      <c r="G74" s="92">
        <f t="shared" si="6"/>
        <v>6406089.7599999998</v>
      </c>
      <c r="H74" s="6"/>
      <c r="I74" s="5">
        <f t="shared" si="5"/>
        <v>5.6172347120315394E-2</v>
      </c>
      <c r="J74" s="6"/>
      <c r="K74" s="6"/>
      <c r="L74" s="6"/>
    </row>
    <row r="75" spans="1:12" ht="10.35" customHeight="1">
      <c r="A75" s="84">
        <v>40450</v>
      </c>
      <c r="B75" s="75" t="s">
        <v>62</v>
      </c>
      <c r="C75" s="88">
        <v>23.55</v>
      </c>
      <c r="D75" s="89" t="s">
        <v>63</v>
      </c>
      <c r="E75" s="111">
        <v>1283075.73</v>
      </c>
      <c r="F75" s="91">
        <v>0.75</v>
      </c>
      <c r="G75" s="92">
        <f t="shared" si="6"/>
        <v>962306.79</v>
      </c>
      <c r="I75" s="4">
        <f t="shared" si="5"/>
        <v>8.4380695664989323E-3</v>
      </c>
    </row>
    <row r="76" spans="1:12" ht="10.35" customHeight="1">
      <c r="A76" s="84">
        <v>40530</v>
      </c>
      <c r="B76" s="75" t="s">
        <v>64</v>
      </c>
      <c r="C76" s="88">
        <v>23.55</v>
      </c>
      <c r="D76" s="89" t="s">
        <v>65</v>
      </c>
      <c r="E76" s="106">
        <v>673860.6</v>
      </c>
      <c r="F76" s="91">
        <v>1.85</v>
      </c>
      <c r="G76" s="92">
        <f t="shared" si="6"/>
        <v>1246642.1100000001</v>
      </c>
      <c r="I76" s="4">
        <f t="shared" si="5"/>
        <v>1.0931288190024114E-2</v>
      </c>
    </row>
    <row r="77" spans="1:12">
      <c r="A77" s="84">
        <v>40435</v>
      </c>
      <c r="B77" s="75" t="s">
        <v>66</v>
      </c>
      <c r="C77" s="88">
        <v>23.55</v>
      </c>
      <c r="D77" s="89" t="s">
        <v>63</v>
      </c>
      <c r="E77" s="109">
        <v>1688.74</v>
      </c>
      <c r="F77" s="91">
        <v>3</v>
      </c>
      <c r="G77" s="92">
        <f t="shared" si="6"/>
        <v>5066.22</v>
      </c>
      <c r="I77" s="4">
        <f t="shared" si="5"/>
        <v>4.4423584290814602E-5</v>
      </c>
    </row>
    <row r="78" spans="1:12">
      <c r="A78" s="84">
        <v>40440</v>
      </c>
      <c r="B78" s="75" t="s">
        <v>67</v>
      </c>
      <c r="C78" s="88">
        <v>23.55</v>
      </c>
      <c r="D78" s="89" t="s">
        <v>63</v>
      </c>
      <c r="E78" s="106">
        <v>178671.52</v>
      </c>
      <c r="F78" s="91">
        <v>1.45</v>
      </c>
      <c r="G78" s="92">
        <f t="shared" si="6"/>
        <v>259073.7</v>
      </c>
      <c r="I78" s="4">
        <f t="shared" si="5"/>
        <v>2.2717099434061716E-3</v>
      </c>
    </row>
    <row r="79" spans="1:12" ht="10.35" customHeight="1">
      <c r="A79" s="84">
        <v>40325</v>
      </c>
      <c r="B79" s="75" t="s">
        <v>68</v>
      </c>
      <c r="C79" s="88">
        <v>23.55</v>
      </c>
      <c r="D79" s="89" t="s">
        <v>17</v>
      </c>
      <c r="E79" s="106">
        <v>313488.64000000001</v>
      </c>
      <c r="F79" s="91">
        <v>2.68</v>
      </c>
      <c r="G79" s="92">
        <f t="shared" si="6"/>
        <v>840149.55</v>
      </c>
      <c r="I79" s="4">
        <f t="shared" si="5"/>
        <v>7.3669233375800803E-3</v>
      </c>
    </row>
    <row r="80" spans="1:12" ht="10.35" customHeight="1">
      <c r="A80" s="87" t="s">
        <v>69</v>
      </c>
      <c r="B80" s="75" t="s">
        <v>70</v>
      </c>
      <c r="C80" s="88">
        <v>23.55</v>
      </c>
      <c r="D80" s="89" t="s">
        <v>17</v>
      </c>
      <c r="E80" s="106">
        <v>548426.81999999995</v>
      </c>
      <c r="F80" s="91">
        <v>2.68</v>
      </c>
      <c r="G80" s="92">
        <f t="shared" si="6"/>
        <v>1469783.87</v>
      </c>
      <c r="I80" s="4">
        <f t="shared" si="5"/>
        <v>1.2887925837848473E-2</v>
      </c>
    </row>
    <row r="81" spans="1:12" ht="10.35" customHeight="1">
      <c r="A81" s="85"/>
      <c r="B81" s="76"/>
      <c r="C81" s="101"/>
      <c r="D81" s="101"/>
      <c r="E81" s="105"/>
      <c r="F81" s="105"/>
      <c r="G81" s="105"/>
      <c r="I81" s="4"/>
    </row>
    <row r="82" spans="1:12" ht="10.35" customHeight="1">
      <c r="A82" s="86" t="s">
        <v>37</v>
      </c>
      <c r="B82" s="79"/>
      <c r="C82" s="101"/>
      <c r="D82" s="101"/>
      <c r="E82" s="105"/>
      <c r="F82" s="105"/>
      <c r="G82" s="121">
        <f>SUM(G55:G64,G67:G70,G73:G80)</f>
        <v>55894288.659999989</v>
      </c>
      <c r="I82" s="4"/>
      <c r="J82" s="19">
        <f>G82</f>
        <v>55894288.659999989</v>
      </c>
      <c r="K82" s="20"/>
      <c r="L82" s="21"/>
    </row>
    <row r="83" spans="1:12" ht="10.9" customHeight="1">
      <c r="A83" s="85"/>
      <c r="B83" s="76"/>
      <c r="C83" s="101"/>
      <c r="D83" s="101"/>
      <c r="E83" s="105"/>
      <c r="F83" s="105"/>
      <c r="G83" s="105"/>
      <c r="I83" s="4"/>
    </row>
    <row r="84" spans="1:12" ht="10.35" customHeight="1">
      <c r="A84" s="85"/>
      <c r="B84" s="76"/>
      <c r="C84" s="101"/>
      <c r="D84" s="101"/>
      <c r="E84" s="105"/>
      <c r="F84" s="105"/>
      <c r="G84" s="105"/>
      <c r="I84" s="4"/>
    </row>
    <row r="85" spans="1:12" ht="10.9" customHeight="1">
      <c r="A85" s="82" t="s">
        <v>1</v>
      </c>
      <c r="B85" s="77" t="s">
        <v>2</v>
      </c>
      <c r="C85" s="99" t="s">
        <v>3</v>
      </c>
      <c r="D85" s="99" t="s">
        <v>4</v>
      </c>
      <c r="E85" s="103" t="s">
        <v>5</v>
      </c>
      <c r="F85" s="103" t="s">
        <v>6</v>
      </c>
      <c r="G85" s="103" t="s">
        <v>7</v>
      </c>
      <c r="I85" s="4"/>
    </row>
    <row r="86" spans="1:12" ht="10.35" customHeight="1">
      <c r="A86" s="83"/>
      <c r="B86" s="78" t="s">
        <v>254</v>
      </c>
      <c r="C86" s="100"/>
      <c r="D86" s="100"/>
      <c r="E86" s="104"/>
      <c r="F86" s="104"/>
      <c r="G86" s="104"/>
      <c r="I86" s="4"/>
    </row>
    <row r="87" spans="1:12" ht="10.35" customHeight="1">
      <c r="A87" s="85"/>
      <c r="B87" s="76"/>
      <c r="C87" s="101"/>
      <c r="D87" s="101"/>
      <c r="E87" s="105"/>
      <c r="F87" s="105"/>
      <c r="G87" s="105"/>
      <c r="I87" s="4"/>
    </row>
    <row r="88" spans="1:12" ht="20.45" customHeight="1">
      <c r="A88" s="83"/>
      <c r="B88" s="78" t="s">
        <v>38</v>
      </c>
      <c r="C88" s="100"/>
      <c r="D88" s="100"/>
      <c r="E88" s="104"/>
      <c r="F88" s="104"/>
      <c r="G88" s="104"/>
      <c r="I88" s="4"/>
    </row>
    <row r="89" spans="1:12" ht="10.35" customHeight="1">
      <c r="A89" s="84">
        <v>40465</v>
      </c>
      <c r="B89" s="75" t="s">
        <v>71</v>
      </c>
      <c r="C89" s="88">
        <v>23.55</v>
      </c>
      <c r="D89" s="89" t="s">
        <v>15</v>
      </c>
      <c r="E89" s="109">
        <v>1072.79</v>
      </c>
      <c r="F89" s="91">
        <v>179.65</v>
      </c>
      <c r="G89" s="92">
        <f t="shared" ref="G89:G96" si="7">TRUNC(E89*F89,2)</f>
        <v>192726.72</v>
      </c>
      <c r="I89" s="4">
        <f t="shared" si="5"/>
        <v>1.6899407627407068E-3</v>
      </c>
    </row>
    <row r="90" spans="1:12" ht="10.35" customHeight="1">
      <c r="A90" s="84">
        <v>40621</v>
      </c>
      <c r="B90" s="75" t="s">
        <v>72</v>
      </c>
      <c r="C90" s="88">
        <v>23.55</v>
      </c>
      <c r="D90" s="89" t="s">
        <v>15</v>
      </c>
      <c r="E90" s="108">
        <v>10499.58</v>
      </c>
      <c r="F90" s="91">
        <v>67.19</v>
      </c>
      <c r="G90" s="92">
        <f t="shared" si="7"/>
        <v>705466.78</v>
      </c>
      <c r="I90" s="4">
        <f t="shared" si="5"/>
        <v>6.1859459253051701E-3</v>
      </c>
    </row>
    <row r="91" spans="1:12" ht="10.35" customHeight="1">
      <c r="A91" s="84">
        <v>40145</v>
      </c>
      <c r="B91" s="75" t="s">
        <v>34</v>
      </c>
      <c r="C91" s="88">
        <v>23.55</v>
      </c>
      <c r="D91" s="89" t="s">
        <v>15</v>
      </c>
      <c r="E91" s="109">
        <v>1062</v>
      </c>
      <c r="F91" s="91">
        <v>2</v>
      </c>
      <c r="G91" s="92">
        <f t="shared" si="7"/>
        <v>2124</v>
      </c>
      <c r="I91" s="4">
        <f t="shared" si="5"/>
        <v>1.8624476045985014E-5</v>
      </c>
    </row>
    <row r="92" spans="1:12" ht="10.35" customHeight="1">
      <c r="A92" s="84">
        <v>40607</v>
      </c>
      <c r="B92" s="75" t="s">
        <v>44</v>
      </c>
      <c r="C92" s="88">
        <v>23.55</v>
      </c>
      <c r="D92" s="89" t="s">
        <v>15</v>
      </c>
      <c r="E92" s="108">
        <v>10077.719999999999</v>
      </c>
      <c r="F92" s="91">
        <v>171.7</v>
      </c>
      <c r="G92" s="92">
        <f t="shared" si="7"/>
        <v>1730344.52</v>
      </c>
      <c r="I92" s="4">
        <f t="shared" si="5"/>
        <v>1.5172674229774689E-2</v>
      </c>
    </row>
    <row r="93" spans="1:12">
      <c r="A93" s="84">
        <v>40380</v>
      </c>
      <c r="B93" s="75" t="s">
        <v>45</v>
      </c>
      <c r="C93" s="88">
        <v>23.55</v>
      </c>
      <c r="D93" s="89" t="s">
        <v>11</v>
      </c>
      <c r="E93" s="108">
        <v>66247.350000000006</v>
      </c>
      <c r="F93" s="91">
        <v>0.46</v>
      </c>
      <c r="G93" s="92">
        <f t="shared" si="7"/>
        <v>30473.78</v>
      </c>
      <c r="I93" s="4">
        <f t="shared" si="5"/>
        <v>2.6721195180820018E-4</v>
      </c>
    </row>
    <row r="94" spans="1:12">
      <c r="A94" s="84">
        <v>40385</v>
      </c>
      <c r="B94" s="75" t="s">
        <v>46</v>
      </c>
      <c r="C94" s="88">
        <v>23.55</v>
      </c>
      <c r="D94" s="89" t="s">
        <v>11</v>
      </c>
      <c r="E94" s="106">
        <v>189992.4</v>
      </c>
      <c r="F94" s="91">
        <v>0.38</v>
      </c>
      <c r="G94" s="92">
        <f t="shared" si="7"/>
        <v>72197.11</v>
      </c>
      <c r="I94" s="4">
        <f t="shared" si="5"/>
        <v>6.3306654697944692E-4</v>
      </c>
    </row>
    <row r="95" spans="1:12" s="7" customFormat="1" ht="10.9" customHeight="1">
      <c r="A95" s="84">
        <v>40618</v>
      </c>
      <c r="B95" s="75" t="s">
        <v>48</v>
      </c>
      <c r="C95" s="88">
        <v>23.55</v>
      </c>
      <c r="D95" s="89" t="s">
        <v>15</v>
      </c>
      <c r="E95" s="109">
        <v>5199.79</v>
      </c>
      <c r="F95" s="91">
        <v>389.92</v>
      </c>
      <c r="G95" s="92">
        <f t="shared" si="7"/>
        <v>2027502.11</v>
      </c>
      <c r="H95" s="6"/>
      <c r="I95" s="5">
        <f t="shared" si="5"/>
        <v>1.7778326026779225E-2</v>
      </c>
      <c r="J95" s="6"/>
      <c r="K95" s="6"/>
      <c r="L95" s="6"/>
    </row>
    <row r="96" spans="1:12" ht="10.35" customHeight="1">
      <c r="A96" s="84">
        <v>40602</v>
      </c>
      <c r="B96" s="75" t="s">
        <v>47</v>
      </c>
      <c r="C96" s="88">
        <v>23.55</v>
      </c>
      <c r="D96" s="89" t="s">
        <v>15</v>
      </c>
      <c r="E96" s="109">
        <v>2699.89</v>
      </c>
      <c r="F96" s="91">
        <v>391.71</v>
      </c>
      <c r="G96" s="92">
        <f t="shared" si="7"/>
        <v>1057573.9099999999</v>
      </c>
      <c r="I96" s="4">
        <f t="shared" si="5"/>
        <v>9.2734274734716151E-3</v>
      </c>
    </row>
    <row r="97" spans="1:12" ht="10.35" customHeight="1">
      <c r="A97" s="85"/>
      <c r="B97" s="76"/>
      <c r="C97" s="101"/>
      <c r="D97" s="101"/>
      <c r="E97" s="105"/>
      <c r="F97" s="105"/>
      <c r="G97" s="105"/>
      <c r="I97" s="4">
        <f t="shared" si="5"/>
        <v>0</v>
      </c>
    </row>
    <row r="98" spans="1:12" ht="10.35" customHeight="1">
      <c r="A98" s="83"/>
      <c r="B98" s="78" t="s">
        <v>52</v>
      </c>
      <c r="C98" s="100"/>
      <c r="D98" s="100"/>
      <c r="E98" s="104"/>
      <c r="F98" s="104"/>
      <c r="G98" s="104"/>
      <c r="I98" s="4">
        <f t="shared" si="5"/>
        <v>0</v>
      </c>
    </row>
    <row r="99" spans="1:12" ht="10.35" customHeight="1">
      <c r="A99" s="84">
        <v>40480</v>
      </c>
      <c r="B99" s="75" t="s">
        <v>53</v>
      </c>
      <c r="C99" s="88">
        <v>13.8</v>
      </c>
      <c r="D99" s="89" t="s">
        <v>54</v>
      </c>
      <c r="E99" s="107">
        <v>79.5</v>
      </c>
      <c r="F99" s="91">
        <v>6850.8</v>
      </c>
      <c r="G99" s="92">
        <f t="shared" ref="G99:G101" si="8">TRUNC(E99*F99,2)</f>
        <v>544638.6</v>
      </c>
      <c r="I99" s="4">
        <f t="shared" si="5"/>
        <v>4.7757102445474646E-3</v>
      </c>
    </row>
    <row r="100" spans="1:12" ht="10.9" customHeight="1">
      <c r="A100" s="84">
        <v>40510</v>
      </c>
      <c r="B100" s="75" t="s">
        <v>55</v>
      </c>
      <c r="C100" s="88">
        <v>13.8</v>
      </c>
      <c r="D100" s="89" t="s">
        <v>54</v>
      </c>
      <c r="E100" s="107">
        <v>95</v>
      </c>
      <c r="F100" s="91">
        <v>3728.17</v>
      </c>
      <c r="G100" s="92">
        <f t="shared" si="8"/>
        <v>354176.15</v>
      </c>
      <c r="I100" s="4">
        <f t="shared" si="5"/>
        <v>3.1056239273701486E-3</v>
      </c>
    </row>
    <row r="101" spans="1:12" s="7" customFormat="1" ht="10.35" customHeight="1">
      <c r="A101" s="84">
        <v>40525</v>
      </c>
      <c r="B101" s="75" t="s">
        <v>56</v>
      </c>
      <c r="C101" s="88">
        <v>13.8</v>
      </c>
      <c r="D101" s="89" t="s">
        <v>54</v>
      </c>
      <c r="E101" s="109">
        <v>1075.1600000000001</v>
      </c>
      <c r="F101" s="91">
        <v>5248</v>
      </c>
      <c r="G101" s="92">
        <f t="shared" si="8"/>
        <v>5642439.6799999997</v>
      </c>
      <c r="H101" s="6"/>
      <c r="I101" s="5">
        <f t="shared" si="5"/>
        <v>4.9476215942125867E-2</v>
      </c>
      <c r="J101" s="6"/>
      <c r="K101" s="6"/>
      <c r="L101" s="6"/>
    </row>
    <row r="102" spans="1:12" ht="10.35" customHeight="1">
      <c r="A102" s="85"/>
      <c r="B102" s="76"/>
      <c r="C102" s="101"/>
      <c r="D102" s="101"/>
      <c r="E102" s="105"/>
      <c r="F102" s="105"/>
      <c r="G102" s="105"/>
      <c r="I102" s="4">
        <f t="shared" si="5"/>
        <v>0</v>
      </c>
    </row>
    <row r="103" spans="1:12" ht="10.35" customHeight="1">
      <c r="A103" s="83"/>
      <c r="B103" s="78" t="s">
        <v>59</v>
      </c>
      <c r="C103" s="100"/>
      <c r="D103" s="100"/>
      <c r="E103" s="104"/>
      <c r="F103" s="104"/>
      <c r="G103" s="104"/>
      <c r="I103" s="4">
        <f t="shared" si="5"/>
        <v>0</v>
      </c>
    </row>
    <row r="104" spans="1:12">
      <c r="A104" s="84">
        <v>40430</v>
      </c>
      <c r="B104" s="75" t="s">
        <v>60</v>
      </c>
      <c r="C104" s="88">
        <v>23.55</v>
      </c>
      <c r="D104" s="89" t="s">
        <v>17</v>
      </c>
      <c r="E104" s="109">
        <v>1943.46</v>
      </c>
      <c r="F104" s="91">
        <v>3.03</v>
      </c>
      <c r="G104" s="92">
        <f t="shared" ref="G104:G110" si="9">TRUNC(E104*F104,2)</f>
        <v>5888.68</v>
      </c>
      <c r="I104" s="4">
        <f t="shared" si="5"/>
        <v>5.1635395293065461E-5</v>
      </c>
    </row>
    <row r="105" spans="1:12">
      <c r="A105" s="84">
        <v>40455</v>
      </c>
      <c r="B105" s="75" t="s">
        <v>61</v>
      </c>
      <c r="C105" s="88">
        <v>23.55</v>
      </c>
      <c r="D105" s="89" t="s">
        <v>17</v>
      </c>
      <c r="E105" s="111">
        <v>1047284.91</v>
      </c>
      <c r="F105" s="91">
        <v>1.3</v>
      </c>
      <c r="G105" s="92">
        <f t="shared" si="9"/>
        <v>1361470.38</v>
      </c>
      <c r="I105" s="4">
        <f t="shared" si="5"/>
        <v>1.1938169717339037E-2</v>
      </c>
    </row>
    <row r="106" spans="1:12" ht="10.35" customHeight="1">
      <c r="A106" s="84">
        <v>40450</v>
      </c>
      <c r="B106" s="75" t="s">
        <v>62</v>
      </c>
      <c r="C106" s="88">
        <v>23.55</v>
      </c>
      <c r="D106" s="89" t="s">
        <v>63</v>
      </c>
      <c r="E106" s="106">
        <v>237725.51</v>
      </c>
      <c r="F106" s="91">
        <v>0.75</v>
      </c>
      <c r="G106" s="92">
        <f t="shared" si="9"/>
        <v>178294.13</v>
      </c>
      <c r="I106" s="4">
        <f t="shared" si="5"/>
        <v>1.5633873603223816E-3</v>
      </c>
    </row>
    <row r="107" spans="1:12" ht="10.35" customHeight="1">
      <c r="A107" s="84">
        <v>40530</v>
      </c>
      <c r="B107" s="75" t="s">
        <v>64</v>
      </c>
      <c r="C107" s="88">
        <v>23.55</v>
      </c>
      <c r="D107" s="89" t="s">
        <v>65</v>
      </c>
      <c r="E107" s="106">
        <v>217439.1</v>
      </c>
      <c r="F107" s="91">
        <v>1.85</v>
      </c>
      <c r="G107" s="92">
        <f t="shared" si="9"/>
        <v>402262.33</v>
      </c>
      <c r="I107" s="4">
        <f t="shared" si="5"/>
        <v>3.5272717181201126E-3</v>
      </c>
    </row>
    <row r="108" spans="1:12" ht="10.35" customHeight="1">
      <c r="A108" s="84">
        <v>40435</v>
      </c>
      <c r="B108" s="75" t="s">
        <v>66</v>
      </c>
      <c r="C108" s="88">
        <v>23.55</v>
      </c>
      <c r="D108" s="89" t="s">
        <v>63</v>
      </c>
      <c r="E108" s="110">
        <v>523</v>
      </c>
      <c r="F108" s="91">
        <v>3</v>
      </c>
      <c r="G108" s="92">
        <f t="shared" si="9"/>
        <v>1569</v>
      </c>
      <c r="I108" s="4">
        <f t="shared" si="5"/>
        <v>1.3757910977471982E-5</v>
      </c>
    </row>
    <row r="109" spans="1:12" ht="10.9" customHeight="1">
      <c r="A109" s="84">
        <v>40440</v>
      </c>
      <c r="B109" s="75" t="s">
        <v>67</v>
      </c>
      <c r="C109" s="88">
        <v>23.55</v>
      </c>
      <c r="D109" s="89" t="s">
        <v>63</v>
      </c>
      <c r="E109" s="108">
        <v>56825.26</v>
      </c>
      <c r="F109" s="91">
        <v>1.45</v>
      </c>
      <c r="G109" s="92">
        <f t="shared" si="9"/>
        <v>82396.62</v>
      </c>
      <c r="I109" s="4">
        <f t="shared" si="5"/>
        <v>7.2250182460458087E-4</v>
      </c>
    </row>
    <row r="110" spans="1:12" ht="10.35" customHeight="1">
      <c r="A110" s="84">
        <v>40325</v>
      </c>
      <c r="B110" s="75" t="s">
        <v>68</v>
      </c>
      <c r="C110" s="88">
        <v>23.55</v>
      </c>
      <c r="D110" s="89" t="s">
        <v>17</v>
      </c>
      <c r="E110" s="108">
        <v>44703.82</v>
      </c>
      <c r="F110" s="91">
        <v>2.68</v>
      </c>
      <c r="G110" s="92">
        <f t="shared" si="9"/>
        <v>119806.23</v>
      </c>
      <c r="I110" s="4">
        <f t="shared" si="5"/>
        <v>1.05053119623106E-3</v>
      </c>
    </row>
    <row r="111" spans="1:12" ht="10.9" customHeight="1">
      <c r="A111" s="85"/>
      <c r="B111" s="76"/>
      <c r="C111" s="101"/>
      <c r="D111" s="101"/>
      <c r="E111" s="105"/>
      <c r="F111" s="105"/>
      <c r="G111" s="105"/>
      <c r="I111" s="4"/>
    </row>
    <row r="112" spans="1:12" ht="10.9" customHeight="1">
      <c r="A112" s="86" t="s">
        <v>37</v>
      </c>
      <c r="B112" s="79"/>
      <c r="C112" s="101"/>
      <c r="D112" s="101"/>
      <c r="E112" s="105"/>
      <c r="F112" s="105"/>
      <c r="G112" s="121">
        <f>SUM(G89:G96,G99:G101,G104:G110)</f>
        <v>14511350.729999999</v>
      </c>
      <c r="I112" s="4"/>
      <c r="J112" s="12">
        <f>G112</f>
        <v>14511350.729999999</v>
      </c>
    </row>
    <row r="113" spans="1:9" ht="10.35" customHeight="1">
      <c r="A113" s="85"/>
      <c r="B113" s="76"/>
      <c r="C113" s="101"/>
      <c r="D113" s="101"/>
      <c r="E113" s="105"/>
      <c r="F113" s="105"/>
      <c r="G113" s="105"/>
      <c r="I113" s="4"/>
    </row>
    <row r="114" spans="1:9" ht="10.35" customHeight="1">
      <c r="A114" s="85"/>
      <c r="B114" s="76"/>
      <c r="C114" s="101"/>
      <c r="D114" s="101"/>
      <c r="E114" s="105"/>
      <c r="F114" s="105"/>
      <c r="G114" s="105"/>
      <c r="I114" s="4"/>
    </row>
    <row r="115" spans="1:9" ht="10.35" customHeight="1">
      <c r="A115" s="82" t="s">
        <v>1</v>
      </c>
      <c r="B115" s="77" t="s">
        <v>2</v>
      </c>
      <c r="C115" s="99" t="s">
        <v>3</v>
      </c>
      <c r="D115" s="99" t="s">
        <v>4</v>
      </c>
      <c r="E115" s="103" t="s">
        <v>5</v>
      </c>
      <c r="F115" s="103" t="s">
        <v>6</v>
      </c>
      <c r="G115" s="103" t="s">
        <v>7</v>
      </c>
      <c r="I115" s="4"/>
    </row>
    <row r="116" spans="1:9" ht="10.35" customHeight="1">
      <c r="A116" s="83"/>
      <c r="B116" s="78" t="s">
        <v>73</v>
      </c>
      <c r="C116" s="100"/>
      <c r="D116" s="100"/>
      <c r="E116" s="104"/>
      <c r="F116" s="104"/>
      <c r="G116" s="104"/>
      <c r="I116" s="4"/>
    </row>
    <row r="117" spans="1:9">
      <c r="A117" s="84">
        <v>41332</v>
      </c>
      <c r="B117" s="75" t="s">
        <v>74</v>
      </c>
      <c r="C117" s="88">
        <v>23.55</v>
      </c>
      <c r="D117" s="89" t="s">
        <v>75</v>
      </c>
      <c r="E117" s="108">
        <v>18011.900000000001</v>
      </c>
      <c r="F117" s="91">
        <v>24.66</v>
      </c>
      <c r="G117" s="92">
        <f t="shared" ref="G117:G161" si="10">TRUNC(E117*F117,2)</f>
        <v>444173.45</v>
      </c>
      <c r="I117" s="4">
        <f t="shared" si="5"/>
        <v>3.8947729660016588E-3</v>
      </c>
    </row>
    <row r="118" spans="1:9">
      <c r="A118" s="84">
        <v>41334</v>
      </c>
      <c r="B118" s="75" t="s">
        <v>76</v>
      </c>
      <c r="C118" s="88">
        <v>23.55</v>
      </c>
      <c r="D118" s="89" t="s">
        <v>75</v>
      </c>
      <c r="E118" s="108">
        <v>14387.97</v>
      </c>
      <c r="F118" s="91">
        <v>19.170000000000002</v>
      </c>
      <c r="G118" s="92">
        <f t="shared" si="10"/>
        <v>275817.38</v>
      </c>
      <c r="I118" s="4">
        <f t="shared" si="5"/>
        <v>2.4185283365707848E-3</v>
      </c>
    </row>
    <row r="119" spans="1:9">
      <c r="A119" s="87" t="s">
        <v>77</v>
      </c>
      <c r="B119" s="75" t="s">
        <v>78</v>
      </c>
      <c r="C119" s="88">
        <v>23.55</v>
      </c>
      <c r="D119" s="89" t="s">
        <v>13</v>
      </c>
      <c r="E119" s="110">
        <v>561</v>
      </c>
      <c r="F119" s="91">
        <v>176.87</v>
      </c>
      <c r="G119" s="92">
        <f t="shared" si="10"/>
        <v>99224.07</v>
      </c>
      <c r="I119" s="4">
        <f t="shared" si="5"/>
        <v>8.7005476219403975E-4</v>
      </c>
    </row>
    <row r="120" spans="1:9">
      <c r="A120" s="87" t="s">
        <v>79</v>
      </c>
      <c r="B120" s="75" t="s">
        <v>80</v>
      </c>
      <c r="C120" s="88">
        <v>23.55</v>
      </c>
      <c r="D120" s="89" t="s">
        <v>13</v>
      </c>
      <c r="E120" s="107">
        <v>13</v>
      </c>
      <c r="F120" s="91">
        <v>257.49</v>
      </c>
      <c r="G120" s="92">
        <f t="shared" si="10"/>
        <v>3347.37</v>
      </c>
      <c r="I120" s="4">
        <f t="shared" si="5"/>
        <v>2.9351700744844096E-5</v>
      </c>
    </row>
    <row r="121" spans="1:9">
      <c r="A121" s="87" t="s">
        <v>81</v>
      </c>
      <c r="B121" s="75" t="s">
        <v>82</v>
      </c>
      <c r="C121" s="88">
        <v>23.55</v>
      </c>
      <c r="D121" s="89" t="s">
        <v>13</v>
      </c>
      <c r="E121" s="107">
        <v>10</v>
      </c>
      <c r="F121" s="91">
        <v>837.68</v>
      </c>
      <c r="G121" s="92">
        <f t="shared" si="10"/>
        <v>8376.7999999999993</v>
      </c>
      <c r="I121" s="4">
        <f t="shared" si="5"/>
        <v>7.3452688767423386E-5</v>
      </c>
    </row>
    <row r="122" spans="1:9">
      <c r="A122" s="87" t="s">
        <v>83</v>
      </c>
      <c r="B122" s="75" t="s">
        <v>84</v>
      </c>
      <c r="C122" s="88">
        <v>23.55</v>
      </c>
      <c r="D122" s="89" t="s">
        <v>75</v>
      </c>
      <c r="E122" s="109">
        <v>3090.38</v>
      </c>
      <c r="F122" s="91">
        <v>365.94</v>
      </c>
      <c r="G122" s="92">
        <f t="shared" si="10"/>
        <v>1130893.6499999999</v>
      </c>
      <c r="I122" s="4">
        <f t="shared" si="5"/>
        <v>9.9163378978255924E-3</v>
      </c>
    </row>
    <row r="123" spans="1:9">
      <c r="A123" s="87" t="s">
        <v>85</v>
      </c>
      <c r="B123" s="75" t="s">
        <v>86</v>
      </c>
      <c r="C123" s="88">
        <v>23.55</v>
      </c>
      <c r="D123" s="89" t="s">
        <v>75</v>
      </c>
      <c r="E123" s="110">
        <v>400.31</v>
      </c>
      <c r="F123" s="91">
        <v>677.26</v>
      </c>
      <c r="G123" s="92">
        <f t="shared" si="10"/>
        <v>271113.95</v>
      </c>
      <c r="I123" s="4">
        <f t="shared" si="5"/>
        <v>2.37728590748935E-3</v>
      </c>
    </row>
    <row r="124" spans="1:9" ht="10.35" customHeight="1">
      <c r="A124" s="87" t="s">
        <v>87</v>
      </c>
      <c r="B124" s="75" t="s">
        <v>88</v>
      </c>
      <c r="C124" s="88">
        <v>23.55</v>
      </c>
      <c r="D124" s="89" t="s">
        <v>13</v>
      </c>
      <c r="E124" s="110">
        <v>468</v>
      </c>
      <c r="F124" s="91">
        <v>670.95</v>
      </c>
      <c r="G124" s="92">
        <f t="shared" si="10"/>
        <v>314004.59999999998</v>
      </c>
      <c r="I124" s="4">
        <f t="shared" si="5"/>
        <v>2.7533762481304642E-3</v>
      </c>
    </row>
    <row r="125" spans="1:9" ht="10.35" customHeight="1">
      <c r="A125" s="87" t="s">
        <v>89</v>
      </c>
      <c r="B125" s="75" t="s">
        <v>90</v>
      </c>
      <c r="C125" s="88">
        <v>23.55</v>
      </c>
      <c r="D125" s="89" t="s">
        <v>13</v>
      </c>
      <c r="E125" s="107">
        <v>10</v>
      </c>
      <c r="F125" s="91">
        <v>669.15</v>
      </c>
      <c r="G125" s="92">
        <f t="shared" si="10"/>
        <v>6691.5</v>
      </c>
      <c r="I125" s="4">
        <f t="shared" si="5"/>
        <v>5.8674991271990924E-5</v>
      </c>
    </row>
    <row r="126" spans="1:9">
      <c r="A126" s="84">
        <v>41211</v>
      </c>
      <c r="B126" s="75" t="s">
        <v>91</v>
      </c>
      <c r="C126" s="88">
        <v>23.55</v>
      </c>
      <c r="D126" s="89" t="s">
        <v>75</v>
      </c>
      <c r="E126" s="109">
        <v>4796.91</v>
      </c>
      <c r="F126" s="91">
        <v>45.14</v>
      </c>
      <c r="G126" s="92">
        <f t="shared" si="10"/>
        <v>216532.51</v>
      </c>
      <c r="I126" s="4">
        <f t="shared" si="5"/>
        <v>1.8986838727269354E-3</v>
      </c>
    </row>
    <row r="127" spans="1:9">
      <c r="A127" s="84">
        <v>41208</v>
      </c>
      <c r="B127" s="75" t="s">
        <v>92</v>
      </c>
      <c r="C127" s="88">
        <v>23.55</v>
      </c>
      <c r="D127" s="89" t="s">
        <v>75</v>
      </c>
      <c r="E127" s="110">
        <v>386.2</v>
      </c>
      <c r="F127" s="91">
        <v>48.88</v>
      </c>
      <c r="G127" s="92">
        <f t="shared" si="10"/>
        <v>18877.45</v>
      </c>
      <c r="I127" s="4">
        <f t="shared" si="5"/>
        <v>1.6552853829297545E-4</v>
      </c>
    </row>
    <row r="128" spans="1:9">
      <c r="A128" s="84">
        <v>41326</v>
      </c>
      <c r="B128" s="75" t="s">
        <v>93</v>
      </c>
      <c r="C128" s="88">
        <v>23.55</v>
      </c>
      <c r="D128" s="89" t="s">
        <v>75</v>
      </c>
      <c r="E128" s="108">
        <v>10755.35</v>
      </c>
      <c r="F128" s="91">
        <v>54.04</v>
      </c>
      <c r="G128" s="92">
        <f t="shared" si="10"/>
        <v>581219.11</v>
      </c>
      <c r="I128" s="4">
        <f t="shared" si="5"/>
        <v>5.0964695817625845E-3</v>
      </c>
    </row>
    <row r="129" spans="1:9">
      <c r="A129" s="84">
        <v>41327</v>
      </c>
      <c r="B129" s="75" t="s">
        <v>94</v>
      </c>
      <c r="C129" s="88">
        <v>23.55</v>
      </c>
      <c r="D129" s="89" t="s">
        <v>75</v>
      </c>
      <c r="E129" s="109">
        <v>1889.66</v>
      </c>
      <c r="F129" s="91">
        <v>72.3</v>
      </c>
      <c r="G129" s="92">
        <f t="shared" si="10"/>
        <v>136622.41</v>
      </c>
      <c r="I129" s="4">
        <f t="shared" si="5"/>
        <v>1.197985311859578E-3</v>
      </c>
    </row>
    <row r="130" spans="1:9">
      <c r="A130" s="84">
        <v>41328</v>
      </c>
      <c r="B130" s="75" t="s">
        <v>95</v>
      </c>
      <c r="C130" s="88">
        <v>23.55</v>
      </c>
      <c r="D130" s="89" t="s">
        <v>75</v>
      </c>
      <c r="E130" s="110">
        <v>277.85000000000002</v>
      </c>
      <c r="F130" s="91">
        <v>70.63</v>
      </c>
      <c r="G130" s="92">
        <f t="shared" si="10"/>
        <v>19624.54</v>
      </c>
      <c r="I130" s="4">
        <f t="shared" si="5"/>
        <v>1.7207946099033654E-4</v>
      </c>
    </row>
    <row r="131" spans="1:9">
      <c r="A131" s="87" t="s">
        <v>96</v>
      </c>
      <c r="B131" s="75" t="s">
        <v>97</v>
      </c>
      <c r="C131" s="88">
        <v>23.55</v>
      </c>
      <c r="D131" s="89" t="s">
        <v>13</v>
      </c>
      <c r="E131" s="112">
        <v>4</v>
      </c>
      <c r="F131" s="91">
        <v>504.8</v>
      </c>
      <c r="G131" s="92">
        <f t="shared" si="10"/>
        <v>2019.2</v>
      </c>
      <c r="I131" s="4">
        <f t="shared" si="5"/>
        <v>1.7705528263678411E-5</v>
      </c>
    </row>
    <row r="132" spans="1:9">
      <c r="A132" s="87" t="s">
        <v>98</v>
      </c>
      <c r="B132" s="75" t="s">
        <v>99</v>
      </c>
      <c r="C132" s="88">
        <v>23.55</v>
      </c>
      <c r="D132" s="89" t="s">
        <v>13</v>
      </c>
      <c r="E132" s="112">
        <v>4</v>
      </c>
      <c r="F132" s="91">
        <v>5771.91</v>
      </c>
      <c r="G132" s="92">
        <f t="shared" si="10"/>
        <v>23087.64</v>
      </c>
      <c r="I132" s="4">
        <f t="shared" si="5"/>
        <v>2.0244595015928693E-4</v>
      </c>
    </row>
    <row r="133" spans="1:9">
      <c r="A133" s="87" t="s">
        <v>100</v>
      </c>
      <c r="B133" s="75" t="s">
        <v>101</v>
      </c>
      <c r="C133" s="88">
        <v>23.55</v>
      </c>
      <c r="D133" s="89" t="s">
        <v>13</v>
      </c>
      <c r="E133" s="112">
        <v>3</v>
      </c>
      <c r="F133" s="91">
        <v>6554.79</v>
      </c>
      <c r="G133" s="92">
        <f t="shared" si="10"/>
        <v>19664.37</v>
      </c>
      <c r="I133" s="4">
        <f t="shared" si="5"/>
        <v>1.7242871375912727E-4</v>
      </c>
    </row>
    <row r="134" spans="1:9">
      <c r="A134" s="87" t="s">
        <v>102</v>
      </c>
      <c r="B134" s="75" t="s">
        <v>103</v>
      </c>
      <c r="C134" s="88">
        <v>23.55</v>
      </c>
      <c r="D134" s="89" t="s">
        <v>13</v>
      </c>
      <c r="E134" s="112">
        <v>2</v>
      </c>
      <c r="F134" s="91">
        <v>7793.59</v>
      </c>
      <c r="G134" s="92">
        <f t="shared" si="10"/>
        <v>15587.18</v>
      </c>
      <c r="I134" s="4">
        <f t="shared" ref="I134:I196" si="11">G134/$I$347</f>
        <v>1.3667752379211711E-4</v>
      </c>
    </row>
    <row r="135" spans="1:9" ht="10.35" customHeight="1">
      <c r="A135" s="87" t="s">
        <v>104</v>
      </c>
      <c r="B135" s="75" t="s">
        <v>105</v>
      </c>
      <c r="C135" s="88">
        <v>23.55</v>
      </c>
      <c r="D135" s="89" t="s">
        <v>75</v>
      </c>
      <c r="E135" s="110">
        <v>228.75</v>
      </c>
      <c r="F135" s="91">
        <v>1087.28</v>
      </c>
      <c r="G135" s="92">
        <f t="shared" si="10"/>
        <v>248715.3</v>
      </c>
      <c r="I135" s="4">
        <f t="shared" si="11"/>
        <v>2.180881425197729E-3</v>
      </c>
    </row>
    <row r="136" spans="1:9" ht="10.35" customHeight="1">
      <c r="A136" s="87" t="s">
        <v>106</v>
      </c>
      <c r="B136" s="75" t="s">
        <v>107</v>
      </c>
      <c r="C136" s="88">
        <v>23.55</v>
      </c>
      <c r="D136" s="89" t="s">
        <v>75</v>
      </c>
      <c r="E136" s="112">
        <v>9</v>
      </c>
      <c r="F136" s="91">
        <v>1400.53</v>
      </c>
      <c r="G136" s="92">
        <f t="shared" si="10"/>
        <v>12604.77</v>
      </c>
      <c r="I136" s="4">
        <f t="shared" si="11"/>
        <v>1.105260060876415E-4</v>
      </c>
    </row>
    <row r="137" spans="1:9">
      <c r="A137" s="84">
        <v>41341</v>
      </c>
      <c r="B137" s="75" t="s">
        <v>108</v>
      </c>
      <c r="C137" s="88">
        <v>23.55</v>
      </c>
      <c r="D137" s="89" t="s">
        <v>75</v>
      </c>
      <c r="E137" s="109">
        <v>2859.37</v>
      </c>
      <c r="F137" s="91">
        <v>103.49</v>
      </c>
      <c r="G137" s="92">
        <f t="shared" si="10"/>
        <v>295916.2</v>
      </c>
      <c r="I137" s="4">
        <f t="shared" si="11"/>
        <v>2.594766562391201E-3</v>
      </c>
    </row>
    <row r="138" spans="1:9">
      <c r="A138" s="84">
        <v>41340</v>
      </c>
      <c r="B138" s="75" t="s">
        <v>109</v>
      </c>
      <c r="C138" s="88">
        <v>23.55</v>
      </c>
      <c r="D138" s="89" t="s">
        <v>75</v>
      </c>
      <c r="E138" s="109">
        <v>2857.3</v>
      </c>
      <c r="F138" s="91">
        <v>130.28</v>
      </c>
      <c r="G138" s="92">
        <f t="shared" si="10"/>
        <v>372249.04</v>
      </c>
      <c r="I138" s="4">
        <f t="shared" si="11"/>
        <v>3.2640976123450645E-3</v>
      </c>
    </row>
    <row r="139" spans="1:9" ht="10.35" customHeight="1">
      <c r="A139" s="87" t="s">
        <v>110</v>
      </c>
      <c r="B139" s="75" t="s">
        <v>111</v>
      </c>
      <c r="C139" s="88">
        <v>23.55</v>
      </c>
      <c r="D139" s="89" t="s">
        <v>75</v>
      </c>
      <c r="E139" s="110">
        <v>630.51</v>
      </c>
      <c r="F139" s="91">
        <v>303.94</v>
      </c>
      <c r="G139" s="92">
        <f t="shared" si="10"/>
        <v>191637.2</v>
      </c>
      <c r="I139" s="4">
        <f t="shared" si="11"/>
        <v>1.6803872132390017E-3</v>
      </c>
    </row>
    <row r="140" spans="1:9" ht="10.35" customHeight="1">
      <c r="A140" s="87" t="s">
        <v>112</v>
      </c>
      <c r="B140" s="75" t="s">
        <v>113</v>
      </c>
      <c r="C140" s="88">
        <v>23.55</v>
      </c>
      <c r="D140" s="89" t="s">
        <v>75</v>
      </c>
      <c r="E140" s="110">
        <v>614.05999999999995</v>
      </c>
      <c r="F140" s="91">
        <v>350.44</v>
      </c>
      <c r="G140" s="92">
        <f t="shared" si="10"/>
        <v>215191.18</v>
      </c>
      <c r="I140" s="4">
        <f t="shared" si="11"/>
        <v>1.8869223056578387E-3</v>
      </c>
    </row>
    <row r="141" spans="1:9">
      <c r="A141" s="84">
        <v>41339</v>
      </c>
      <c r="B141" s="75" t="s">
        <v>114</v>
      </c>
      <c r="C141" s="88">
        <v>23.55</v>
      </c>
      <c r="D141" s="89" t="s">
        <v>75</v>
      </c>
      <c r="E141" s="109">
        <v>2256.61</v>
      </c>
      <c r="F141" s="91">
        <v>103.49</v>
      </c>
      <c r="G141" s="92">
        <f t="shared" si="10"/>
        <v>233536.56</v>
      </c>
      <c r="I141" s="4">
        <f t="shared" si="11"/>
        <v>2.0477853425526094E-3</v>
      </c>
    </row>
    <row r="142" spans="1:9">
      <c r="A142" s="84">
        <v>41338</v>
      </c>
      <c r="B142" s="75" t="s">
        <v>115</v>
      </c>
      <c r="C142" s="88">
        <v>23.55</v>
      </c>
      <c r="D142" s="89" t="s">
        <v>75</v>
      </c>
      <c r="E142" s="109">
        <v>1099.02</v>
      </c>
      <c r="F142" s="91">
        <v>130.28</v>
      </c>
      <c r="G142" s="92">
        <f t="shared" si="10"/>
        <v>143180.32</v>
      </c>
      <c r="I142" s="4">
        <f t="shared" si="11"/>
        <v>1.2554889077666994E-3</v>
      </c>
    </row>
    <row r="143" spans="1:9" ht="18">
      <c r="A143" s="87" t="s">
        <v>116</v>
      </c>
      <c r="B143" s="75" t="s">
        <v>117</v>
      </c>
      <c r="C143" s="88">
        <v>23.55</v>
      </c>
      <c r="D143" s="89" t="s">
        <v>75</v>
      </c>
      <c r="E143" s="110">
        <v>583.30999999999995</v>
      </c>
      <c r="F143" s="91">
        <v>310.92</v>
      </c>
      <c r="G143" s="92">
        <f t="shared" si="10"/>
        <v>181362.74</v>
      </c>
      <c r="I143" s="4">
        <f t="shared" si="11"/>
        <v>1.5902947301149755E-3</v>
      </c>
    </row>
    <row r="144" spans="1:9" ht="18">
      <c r="A144" s="87" t="s">
        <v>118</v>
      </c>
      <c r="B144" s="75" t="s">
        <v>119</v>
      </c>
      <c r="C144" s="88">
        <v>23.55</v>
      </c>
      <c r="D144" s="89" t="s">
        <v>75</v>
      </c>
      <c r="E144" s="110">
        <v>583.30999999999995</v>
      </c>
      <c r="F144" s="91">
        <v>358.9</v>
      </c>
      <c r="G144" s="92">
        <f t="shared" si="10"/>
        <v>209349.95</v>
      </c>
      <c r="I144" s="4">
        <f t="shared" si="11"/>
        <v>1.8357029797566671E-3</v>
      </c>
    </row>
    <row r="145" spans="1:9" ht="18">
      <c r="A145" s="87" t="s">
        <v>120</v>
      </c>
      <c r="B145" s="75" t="s">
        <v>121</v>
      </c>
      <c r="C145" s="88">
        <v>23.55</v>
      </c>
      <c r="D145" s="89" t="s">
        <v>75</v>
      </c>
      <c r="E145" s="110">
        <v>248.25</v>
      </c>
      <c r="F145" s="91">
        <v>70.33</v>
      </c>
      <c r="G145" s="92">
        <f t="shared" si="10"/>
        <v>17459.419999999998</v>
      </c>
      <c r="I145" s="4">
        <f t="shared" si="11"/>
        <v>1.5309442069999607E-4</v>
      </c>
    </row>
    <row r="146" spans="1:9">
      <c r="A146" s="87" t="s">
        <v>122</v>
      </c>
      <c r="B146" s="75" t="s">
        <v>123</v>
      </c>
      <c r="C146" s="88">
        <v>23.55</v>
      </c>
      <c r="D146" s="89" t="s">
        <v>13</v>
      </c>
      <c r="E146" s="112">
        <v>9</v>
      </c>
      <c r="F146" s="91">
        <v>1061.3</v>
      </c>
      <c r="G146" s="92">
        <f t="shared" si="10"/>
        <v>9551.7000000000007</v>
      </c>
      <c r="I146" s="4">
        <f t="shared" si="11"/>
        <v>8.3754900116965675E-5</v>
      </c>
    </row>
    <row r="147" spans="1:9">
      <c r="A147" s="87" t="s">
        <v>124</v>
      </c>
      <c r="B147" s="75" t="s">
        <v>125</v>
      </c>
      <c r="C147" s="88">
        <v>23.55</v>
      </c>
      <c r="D147" s="89" t="s">
        <v>13</v>
      </c>
      <c r="E147" s="112">
        <v>3</v>
      </c>
      <c r="F147" s="91">
        <v>1666.94</v>
      </c>
      <c r="G147" s="92">
        <f t="shared" si="10"/>
        <v>5000.82</v>
      </c>
      <c r="I147" s="4">
        <f t="shared" si="11"/>
        <v>4.3850118785443872E-5</v>
      </c>
    </row>
    <row r="148" spans="1:9">
      <c r="A148" s="87" t="s">
        <v>126</v>
      </c>
      <c r="B148" s="75" t="s">
        <v>127</v>
      </c>
      <c r="C148" s="88">
        <v>23.55</v>
      </c>
      <c r="D148" s="89" t="s">
        <v>13</v>
      </c>
      <c r="E148" s="112">
        <v>1</v>
      </c>
      <c r="F148" s="91">
        <v>1878.14</v>
      </c>
      <c r="G148" s="92">
        <f t="shared" si="10"/>
        <v>1878.14</v>
      </c>
      <c r="I148" s="4">
        <f t="shared" si="11"/>
        <v>1.6468631563562287E-5</v>
      </c>
    </row>
    <row r="149" spans="1:9">
      <c r="A149" s="84">
        <v>41309</v>
      </c>
      <c r="B149" s="75" t="s">
        <v>128</v>
      </c>
      <c r="C149" s="88">
        <v>23.55</v>
      </c>
      <c r="D149" s="89" t="s">
        <v>75</v>
      </c>
      <c r="E149" s="109">
        <v>5308.56</v>
      </c>
      <c r="F149" s="91">
        <v>139.96</v>
      </c>
      <c r="G149" s="92">
        <f t="shared" si="10"/>
        <v>742986.05</v>
      </c>
      <c r="I149" s="4">
        <f t="shared" si="11"/>
        <v>6.5149368600405022E-3</v>
      </c>
    </row>
    <row r="150" spans="1:9" ht="10.35" customHeight="1">
      <c r="A150" s="87" t="s">
        <v>129</v>
      </c>
      <c r="B150" s="75" t="s">
        <v>130</v>
      </c>
      <c r="C150" s="88">
        <v>23.55</v>
      </c>
      <c r="D150" s="89" t="s">
        <v>13</v>
      </c>
      <c r="E150" s="112">
        <v>3</v>
      </c>
      <c r="F150" s="91">
        <v>499.84</v>
      </c>
      <c r="G150" s="92">
        <f t="shared" si="10"/>
        <v>1499.52</v>
      </c>
      <c r="I150" s="4">
        <f t="shared" si="11"/>
        <v>1.3148669642408403E-5</v>
      </c>
    </row>
    <row r="151" spans="1:9">
      <c r="A151" s="87" t="s">
        <v>131</v>
      </c>
      <c r="B151" s="75" t="s">
        <v>132</v>
      </c>
      <c r="C151" s="88">
        <v>23.55</v>
      </c>
      <c r="D151" s="89" t="s">
        <v>13</v>
      </c>
      <c r="E151" s="112">
        <v>2</v>
      </c>
      <c r="F151" s="91">
        <v>3165.42</v>
      </c>
      <c r="G151" s="92">
        <f t="shared" si="10"/>
        <v>6330.84</v>
      </c>
      <c r="I151" s="4">
        <f t="shared" si="11"/>
        <v>5.5512513150171267E-5</v>
      </c>
    </row>
    <row r="152" spans="1:9" ht="10.35" customHeight="1">
      <c r="A152" s="84">
        <v>41455</v>
      </c>
      <c r="B152" s="75" t="s">
        <v>133</v>
      </c>
      <c r="C152" s="88">
        <v>23.55</v>
      </c>
      <c r="D152" s="89" t="s">
        <v>13</v>
      </c>
      <c r="E152" s="112">
        <v>8</v>
      </c>
      <c r="F152" s="91">
        <v>272.04000000000002</v>
      </c>
      <c r="G152" s="92">
        <f t="shared" si="10"/>
        <v>2176.3200000000002</v>
      </c>
      <c r="I152" s="4">
        <f t="shared" si="11"/>
        <v>1.9083248450281595E-5</v>
      </c>
    </row>
    <row r="153" spans="1:9" ht="10.35" customHeight="1">
      <c r="A153" s="84">
        <v>47023</v>
      </c>
      <c r="B153" s="75" t="s">
        <v>134</v>
      </c>
      <c r="C153" s="88">
        <v>23.55</v>
      </c>
      <c r="D153" s="89" t="s">
        <v>15</v>
      </c>
      <c r="E153" s="108">
        <v>39634.629999999997</v>
      </c>
      <c r="F153" s="91">
        <v>18.34</v>
      </c>
      <c r="G153" s="92">
        <f t="shared" si="10"/>
        <v>726899.11</v>
      </c>
      <c r="I153" s="4">
        <f t="shared" si="11"/>
        <v>6.3738771478544379E-3</v>
      </c>
    </row>
    <row r="154" spans="1:9">
      <c r="A154" s="84">
        <v>42480</v>
      </c>
      <c r="B154" s="75" t="s">
        <v>135</v>
      </c>
      <c r="C154" s="88">
        <v>23.55</v>
      </c>
      <c r="D154" s="89" t="s">
        <v>11</v>
      </c>
      <c r="E154" s="108">
        <v>59153.4</v>
      </c>
      <c r="F154" s="91">
        <v>3.95</v>
      </c>
      <c r="G154" s="92">
        <f t="shared" si="10"/>
        <v>233655.93</v>
      </c>
      <c r="I154" s="4">
        <f t="shared" si="11"/>
        <v>2.0488320486286966E-3</v>
      </c>
    </row>
    <row r="155" spans="1:9" ht="10.35" customHeight="1">
      <c r="A155" s="84">
        <v>40449</v>
      </c>
      <c r="B155" s="75" t="s">
        <v>136</v>
      </c>
      <c r="C155" s="88">
        <v>23.55</v>
      </c>
      <c r="D155" s="89" t="s">
        <v>65</v>
      </c>
      <c r="E155" s="110">
        <v>472.04</v>
      </c>
      <c r="F155" s="91">
        <v>1.47</v>
      </c>
      <c r="G155" s="92">
        <f t="shared" si="10"/>
        <v>693.89</v>
      </c>
      <c r="I155" s="4">
        <f t="shared" si="11"/>
        <v>6.0844339376405563E-6</v>
      </c>
    </row>
    <row r="156" spans="1:9" ht="10.35" customHeight="1">
      <c r="A156" s="84">
        <v>40450</v>
      </c>
      <c r="B156" s="75" t="s">
        <v>62</v>
      </c>
      <c r="C156" s="88">
        <v>23.55</v>
      </c>
      <c r="D156" s="89" t="s">
        <v>63</v>
      </c>
      <c r="E156" s="106">
        <v>757944.8</v>
      </c>
      <c r="F156" s="91">
        <v>0.75</v>
      </c>
      <c r="G156" s="92">
        <f t="shared" si="10"/>
        <v>568458.6</v>
      </c>
      <c r="I156" s="4">
        <f t="shared" si="11"/>
        <v>4.9845779561366182E-3</v>
      </c>
    </row>
    <row r="157" spans="1:9" ht="10.35" customHeight="1">
      <c r="A157" s="84">
        <v>40445</v>
      </c>
      <c r="B157" s="75" t="s">
        <v>137</v>
      </c>
      <c r="C157" s="88">
        <v>23.55</v>
      </c>
      <c r="D157" s="89" t="s">
        <v>17</v>
      </c>
      <c r="E157" s="108">
        <v>10729.89</v>
      </c>
      <c r="F157" s="91">
        <v>1.93</v>
      </c>
      <c r="G157" s="92">
        <f t="shared" si="10"/>
        <v>20708.68</v>
      </c>
      <c r="I157" s="4">
        <f t="shared" si="11"/>
        <v>1.8158583550092702E-4</v>
      </c>
    </row>
    <row r="158" spans="1:9" ht="10.35" customHeight="1">
      <c r="A158" s="84">
        <v>40455</v>
      </c>
      <c r="B158" s="75" t="s">
        <v>61</v>
      </c>
      <c r="C158" s="88">
        <v>23.55</v>
      </c>
      <c r="D158" s="89" t="s">
        <v>17</v>
      </c>
      <c r="E158" s="106">
        <v>471303.53</v>
      </c>
      <c r="F158" s="91">
        <v>1.3</v>
      </c>
      <c r="G158" s="92">
        <f t="shared" si="10"/>
        <v>612694.57999999996</v>
      </c>
      <c r="I158" s="4">
        <f t="shared" si="11"/>
        <v>5.3724649381896653E-3</v>
      </c>
    </row>
    <row r="159" spans="1:9" ht="10.35" customHeight="1">
      <c r="A159" s="84">
        <v>47050</v>
      </c>
      <c r="B159" s="75" t="s">
        <v>138</v>
      </c>
      <c r="C159" s="88">
        <v>23.55</v>
      </c>
      <c r="D159" s="89" t="s">
        <v>65</v>
      </c>
      <c r="E159" s="110">
        <v>246.17</v>
      </c>
      <c r="F159" s="91">
        <v>1.47</v>
      </c>
      <c r="G159" s="92">
        <f t="shared" si="10"/>
        <v>361.86</v>
      </c>
      <c r="I159" s="4">
        <f t="shared" si="11"/>
        <v>3.1730004246704979E-6</v>
      </c>
    </row>
    <row r="160" spans="1:9" ht="10.9" customHeight="1">
      <c r="A160" s="84">
        <v>40451</v>
      </c>
      <c r="B160" s="75" t="s">
        <v>139</v>
      </c>
      <c r="C160" s="88">
        <v>23.55</v>
      </c>
      <c r="D160" s="89" t="s">
        <v>65</v>
      </c>
      <c r="E160" s="110">
        <v>908.93</v>
      </c>
      <c r="F160" s="91">
        <v>0.75</v>
      </c>
      <c r="G160" s="92">
        <f t="shared" si="10"/>
        <v>681.69</v>
      </c>
      <c r="I160" s="4">
        <f t="shared" si="11"/>
        <v>5.9774571919903604E-6</v>
      </c>
    </row>
    <row r="161" spans="1:10" ht="10.35" customHeight="1">
      <c r="A161" s="84">
        <v>40436</v>
      </c>
      <c r="B161" s="75" t="s">
        <v>140</v>
      </c>
      <c r="C161" s="88">
        <v>23.55</v>
      </c>
      <c r="D161" s="89" t="s">
        <v>17</v>
      </c>
      <c r="E161" s="108">
        <v>20654.740000000002</v>
      </c>
      <c r="F161" s="91">
        <v>2.0499999999999998</v>
      </c>
      <c r="G161" s="92">
        <f t="shared" si="10"/>
        <v>42342.21</v>
      </c>
      <c r="I161" s="4">
        <f t="shared" si="11"/>
        <v>3.712812974948527E-4</v>
      </c>
    </row>
    <row r="162" spans="1:10" ht="10.9" customHeight="1">
      <c r="A162" s="85"/>
      <c r="B162" s="76"/>
      <c r="C162" s="101"/>
      <c r="D162" s="101"/>
      <c r="E162" s="105"/>
      <c r="F162" s="105"/>
      <c r="G162" s="105"/>
      <c r="I162" s="4"/>
    </row>
    <row r="163" spans="1:10" ht="10.9" customHeight="1">
      <c r="A163" s="86" t="s">
        <v>37</v>
      </c>
      <c r="B163" s="79"/>
      <c r="C163" s="101"/>
      <c r="D163" s="101"/>
      <c r="E163" s="105"/>
      <c r="F163" s="105"/>
      <c r="G163" s="121">
        <f>SUM(G117:G161)</f>
        <v>8683999.7999999989</v>
      </c>
      <c r="I163" s="4"/>
      <c r="J163" s="12">
        <f>G163</f>
        <v>8683999.7999999989</v>
      </c>
    </row>
    <row r="164" spans="1:10" ht="10.35" customHeight="1">
      <c r="A164" s="85"/>
      <c r="B164" s="76"/>
      <c r="C164" s="101"/>
      <c r="D164" s="101"/>
      <c r="E164" s="105"/>
      <c r="F164" s="105"/>
      <c r="G164" s="105"/>
      <c r="I164" s="4"/>
    </row>
    <row r="165" spans="1:10" ht="10.35" customHeight="1">
      <c r="A165" s="85"/>
      <c r="B165" s="76"/>
      <c r="C165" s="101"/>
      <c r="D165" s="101"/>
      <c r="E165" s="105"/>
      <c r="F165" s="105"/>
      <c r="G165" s="105"/>
      <c r="I165" s="4"/>
    </row>
    <row r="166" spans="1:10" ht="20.45" customHeight="1">
      <c r="A166" s="82" t="s">
        <v>1</v>
      </c>
      <c r="B166" s="77" t="s">
        <v>2</v>
      </c>
      <c r="C166" s="99" t="s">
        <v>3</v>
      </c>
      <c r="D166" s="99" t="s">
        <v>4</v>
      </c>
      <c r="E166" s="103" t="s">
        <v>5</v>
      </c>
      <c r="F166" s="103" t="s">
        <v>6</v>
      </c>
      <c r="G166" s="103" t="s">
        <v>7</v>
      </c>
      <c r="I166" s="4"/>
    </row>
    <row r="167" spans="1:10" ht="10.35" customHeight="1">
      <c r="A167" s="83"/>
      <c r="B167" s="78" t="s">
        <v>141</v>
      </c>
      <c r="C167" s="100"/>
      <c r="D167" s="100"/>
      <c r="E167" s="104"/>
      <c r="F167" s="104"/>
      <c r="G167" s="104"/>
      <c r="I167" s="4"/>
    </row>
    <row r="168" spans="1:10" ht="10.35" customHeight="1">
      <c r="A168" s="84">
        <v>40800</v>
      </c>
      <c r="B168" s="75" t="s">
        <v>142</v>
      </c>
      <c r="C168" s="88">
        <v>23.55</v>
      </c>
      <c r="D168" s="89" t="s">
        <v>143</v>
      </c>
      <c r="E168" s="108">
        <v>21567.5</v>
      </c>
      <c r="F168" s="91">
        <v>17.75</v>
      </c>
      <c r="G168" s="92">
        <f t="shared" ref="G168:G175" si="12">TRUNC(E168*F168,2)</f>
        <v>382823.12</v>
      </c>
      <c r="I168" s="4">
        <f t="shared" si="11"/>
        <v>3.3568173391192312E-3</v>
      </c>
    </row>
    <row r="169" spans="1:10">
      <c r="A169" s="84">
        <v>40804</v>
      </c>
      <c r="B169" s="75" t="s">
        <v>144</v>
      </c>
      <c r="C169" s="88">
        <v>23.55</v>
      </c>
      <c r="D169" s="89" t="s">
        <v>75</v>
      </c>
      <c r="E169" s="108">
        <v>29451.37</v>
      </c>
      <c r="F169" s="91">
        <v>6</v>
      </c>
      <c r="G169" s="92">
        <f t="shared" si="12"/>
        <v>176708.22</v>
      </c>
      <c r="I169" s="4">
        <f t="shared" si="11"/>
        <v>1.5494811725605697E-3</v>
      </c>
    </row>
    <row r="170" spans="1:10">
      <c r="A170" s="84">
        <v>40810</v>
      </c>
      <c r="B170" s="75" t="s">
        <v>145</v>
      </c>
      <c r="C170" s="88">
        <v>23.55</v>
      </c>
      <c r="D170" s="89" t="s">
        <v>143</v>
      </c>
      <c r="E170" s="109">
        <v>2507.34</v>
      </c>
      <c r="F170" s="91">
        <v>395.54</v>
      </c>
      <c r="G170" s="92">
        <f t="shared" si="12"/>
        <v>991753.26</v>
      </c>
      <c r="I170" s="4">
        <f t="shared" si="11"/>
        <v>8.6962734625223859E-3</v>
      </c>
    </row>
    <row r="171" spans="1:10" ht="10.35" customHeight="1">
      <c r="A171" s="87" t="s">
        <v>257</v>
      </c>
      <c r="B171" s="75" t="s">
        <v>258</v>
      </c>
      <c r="C171" s="88">
        <v>23.55</v>
      </c>
      <c r="D171" s="89" t="s">
        <v>13</v>
      </c>
      <c r="E171" s="107">
        <v>29</v>
      </c>
      <c r="F171" s="91">
        <v>495.41</v>
      </c>
      <c r="G171" s="92">
        <f t="shared" si="12"/>
        <v>14366.89</v>
      </c>
      <c r="I171" s="4">
        <f t="shared" si="11"/>
        <v>1.2597730633724183E-4</v>
      </c>
    </row>
    <row r="172" spans="1:10" ht="18">
      <c r="A172" s="87" t="s">
        <v>259</v>
      </c>
      <c r="B172" s="75" t="s">
        <v>260</v>
      </c>
      <c r="C172" s="88">
        <v>13.8</v>
      </c>
      <c r="D172" s="89" t="s">
        <v>13</v>
      </c>
      <c r="E172" s="107">
        <v>29</v>
      </c>
      <c r="F172" s="91">
        <v>43390.57</v>
      </c>
      <c r="G172" s="92">
        <f t="shared" si="12"/>
        <v>1258326.53</v>
      </c>
      <c r="I172" s="4">
        <f t="shared" si="11"/>
        <v>1.1033744028254447E-2</v>
      </c>
    </row>
    <row r="173" spans="1:10" ht="10.9" customHeight="1">
      <c r="A173" s="87" t="s">
        <v>146</v>
      </c>
      <c r="B173" s="75" t="s">
        <v>147</v>
      </c>
      <c r="C173" s="88">
        <v>23.55</v>
      </c>
      <c r="D173" s="89" t="s">
        <v>13</v>
      </c>
      <c r="E173" s="112">
        <v>8</v>
      </c>
      <c r="F173" s="91">
        <v>6783.22</v>
      </c>
      <c r="G173" s="92">
        <f t="shared" si="12"/>
        <v>54265.760000000002</v>
      </c>
      <c r="I173" s="4">
        <f t="shared" si="11"/>
        <v>4.7583396762578711E-4</v>
      </c>
    </row>
    <row r="174" spans="1:10" ht="10.35" customHeight="1">
      <c r="A174" s="84">
        <v>40895</v>
      </c>
      <c r="B174" s="75" t="s">
        <v>148</v>
      </c>
      <c r="C174" s="88">
        <v>23.55</v>
      </c>
      <c r="D174" s="89" t="s">
        <v>11</v>
      </c>
      <c r="E174" s="106">
        <v>658943.27</v>
      </c>
      <c r="F174" s="91">
        <v>1.8</v>
      </c>
      <c r="G174" s="92">
        <f t="shared" si="12"/>
        <v>1186097.8799999999</v>
      </c>
      <c r="I174" s="4">
        <f t="shared" si="11"/>
        <v>1.0400400920081735E-2</v>
      </c>
    </row>
    <row r="175" spans="1:10" ht="10.9" customHeight="1">
      <c r="A175" s="87" t="s">
        <v>149</v>
      </c>
      <c r="B175" s="75" t="s">
        <v>150</v>
      </c>
      <c r="C175" s="88">
        <v>23.55</v>
      </c>
      <c r="D175" s="89" t="s">
        <v>75</v>
      </c>
      <c r="E175" s="109">
        <v>4000</v>
      </c>
      <c r="F175" s="91">
        <v>85.59</v>
      </c>
      <c r="G175" s="92">
        <f t="shared" si="12"/>
        <v>342360</v>
      </c>
      <c r="I175" s="4">
        <f t="shared" si="11"/>
        <v>3.0020130033443643E-3</v>
      </c>
    </row>
    <row r="176" spans="1:10" ht="10.9" customHeight="1">
      <c r="A176" s="85"/>
      <c r="B176" s="76"/>
      <c r="C176" s="101"/>
      <c r="D176" s="101"/>
      <c r="E176" s="105"/>
      <c r="F176" s="105"/>
      <c r="G176" s="105"/>
      <c r="I176" s="4"/>
    </row>
    <row r="177" spans="1:10" ht="10.35" customHeight="1">
      <c r="A177" s="86" t="s">
        <v>37</v>
      </c>
      <c r="B177" s="79"/>
      <c r="C177" s="101"/>
      <c r="D177" s="101"/>
      <c r="E177" s="105"/>
      <c r="F177" s="105"/>
      <c r="G177" s="122">
        <f>SUM(G168:G175)</f>
        <v>4406701.66</v>
      </c>
      <c r="I177" s="4"/>
      <c r="J177" s="12">
        <f>G177</f>
        <v>4406701.66</v>
      </c>
    </row>
    <row r="178" spans="1:10" ht="10.35" customHeight="1">
      <c r="A178" s="85"/>
      <c r="B178" s="76"/>
      <c r="C178" s="101"/>
      <c r="D178" s="101"/>
      <c r="E178" s="105"/>
      <c r="F178" s="105"/>
      <c r="G178" s="105"/>
      <c r="I178" s="4"/>
    </row>
    <row r="179" spans="1:10" ht="10.9" customHeight="1">
      <c r="A179" s="85"/>
      <c r="B179" s="76"/>
      <c r="C179" s="101"/>
      <c r="D179" s="101"/>
      <c r="E179" s="105"/>
      <c r="F179" s="105"/>
      <c r="G179" s="105"/>
      <c r="I179" s="4"/>
    </row>
    <row r="180" spans="1:10" ht="10.35" customHeight="1">
      <c r="A180" s="82" t="s">
        <v>1</v>
      </c>
      <c r="B180" s="77" t="s">
        <v>2</v>
      </c>
      <c r="C180" s="99" t="s">
        <v>3</v>
      </c>
      <c r="D180" s="99" t="s">
        <v>4</v>
      </c>
      <c r="E180" s="103" t="s">
        <v>5</v>
      </c>
      <c r="F180" s="103" t="s">
        <v>6</v>
      </c>
      <c r="G180" s="103" t="s">
        <v>7</v>
      </c>
      <c r="I180" s="4"/>
    </row>
    <row r="181" spans="1:10" ht="10.35" customHeight="1">
      <c r="A181" s="83"/>
      <c r="B181" s="78" t="s">
        <v>151</v>
      </c>
      <c r="C181" s="100"/>
      <c r="D181" s="100"/>
      <c r="E181" s="104"/>
      <c r="F181" s="104"/>
      <c r="G181" s="104"/>
      <c r="I181" s="4"/>
    </row>
    <row r="182" spans="1:10">
      <c r="A182" s="85"/>
      <c r="B182" s="76"/>
      <c r="C182" s="101"/>
      <c r="D182" s="101"/>
      <c r="E182" s="105"/>
      <c r="F182" s="105"/>
      <c r="G182" s="105"/>
      <c r="I182" s="4"/>
    </row>
    <row r="183" spans="1:10" ht="10.35" customHeight="1">
      <c r="A183" s="83"/>
      <c r="B183" s="78" t="s">
        <v>152</v>
      </c>
      <c r="C183" s="100"/>
      <c r="D183" s="100"/>
      <c r="E183" s="104"/>
      <c r="F183" s="104"/>
      <c r="G183" s="104"/>
      <c r="I183" s="4"/>
    </row>
    <row r="184" spans="1:10" ht="10.9" customHeight="1">
      <c r="A184" s="84">
        <v>40850</v>
      </c>
      <c r="B184" s="75" t="s">
        <v>153</v>
      </c>
      <c r="C184" s="88">
        <v>23.55</v>
      </c>
      <c r="D184" s="89" t="s">
        <v>11</v>
      </c>
      <c r="E184" s="110">
        <v>165.59</v>
      </c>
      <c r="F184" s="91">
        <v>394.44</v>
      </c>
      <c r="G184" s="92">
        <f t="shared" ref="G184:G186" si="13">TRUNC(E184*F184,2)</f>
        <v>65315.31</v>
      </c>
      <c r="I184" s="4">
        <f t="shared" si="11"/>
        <v>5.7272289384702711E-4</v>
      </c>
    </row>
    <row r="185" spans="1:10" ht="10.35" customHeight="1">
      <c r="A185" s="87" t="s">
        <v>154</v>
      </c>
      <c r="B185" s="75" t="s">
        <v>155</v>
      </c>
      <c r="C185" s="88">
        <v>23.55</v>
      </c>
      <c r="D185" s="89" t="s">
        <v>13</v>
      </c>
      <c r="E185" s="107">
        <v>26</v>
      </c>
      <c r="F185" s="91">
        <v>1117.6300000000001</v>
      </c>
      <c r="G185" s="92">
        <f t="shared" si="13"/>
        <v>29058.38</v>
      </c>
      <c r="I185" s="4">
        <f t="shared" si="11"/>
        <v>2.5480089559563564E-4</v>
      </c>
    </row>
    <row r="186" spans="1:10" ht="10.9" customHeight="1">
      <c r="A186" s="87" t="s">
        <v>156</v>
      </c>
      <c r="B186" s="75" t="s">
        <v>157</v>
      </c>
      <c r="C186" s="88">
        <v>23.55</v>
      </c>
      <c r="D186" s="89" t="s">
        <v>11</v>
      </c>
      <c r="E186" s="107">
        <v>36.69</v>
      </c>
      <c r="F186" s="91">
        <v>19.989999999999998</v>
      </c>
      <c r="G186" s="92">
        <f t="shared" si="13"/>
        <v>733.43</v>
      </c>
      <c r="I186" s="4">
        <f t="shared" si="11"/>
        <v>6.431143816575701E-6</v>
      </c>
    </row>
    <row r="187" spans="1:10" ht="10.35" customHeight="1">
      <c r="A187" s="85"/>
      <c r="B187" s="76"/>
      <c r="C187" s="101"/>
      <c r="D187" s="101"/>
      <c r="E187" s="105"/>
      <c r="F187" s="105"/>
      <c r="G187" s="105"/>
      <c r="I187" s="4"/>
    </row>
    <row r="188" spans="1:10" ht="20.45" customHeight="1">
      <c r="A188" s="83"/>
      <c r="B188" s="78" t="s">
        <v>158</v>
      </c>
      <c r="C188" s="100"/>
      <c r="D188" s="100"/>
      <c r="E188" s="104"/>
      <c r="F188" s="104"/>
      <c r="G188" s="104"/>
      <c r="I188" s="4"/>
    </row>
    <row r="189" spans="1:10" ht="10.35" customHeight="1">
      <c r="A189" s="85"/>
      <c r="B189" s="76"/>
      <c r="C189" s="101"/>
      <c r="D189" s="101"/>
      <c r="E189" s="105"/>
      <c r="F189" s="105"/>
      <c r="G189" s="105"/>
      <c r="I189" s="4"/>
    </row>
    <row r="190" spans="1:10" ht="10.35" customHeight="1">
      <c r="A190" s="83"/>
      <c r="B190" s="78" t="s">
        <v>159</v>
      </c>
      <c r="C190" s="100"/>
      <c r="D190" s="100"/>
      <c r="E190" s="104"/>
      <c r="F190" s="104"/>
      <c r="G190" s="104"/>
      <c r="I190" s="4"/>
    </row>
    <row r="191" spans="1:10" ht="10.9" customHeight="1">
      <c r="A191" s="84">
        <v>40818</v>
      </c>
      <c r="B191" s="75" t="s">
        <v>160</v>
      </c>
      <c r="C191" s="88">
        <v>23.55</v>
      </c>
      <c r="D191" s="89" t="s">
        <v>11</v>
      </c>
      <c r="E191" s="109">
        <v>8503.5</v>
      </c>
      <c r="F191" s="91">
        <v>19.75</v>
      </c>
      <c r="G191" s="92">
        <f t="shared" ref="G191:G193" si="14">TRUNC(E191*F191,2)</f>
        <v>167944.12</v>
      </c>
      <c r="I191" s="4">
        <f t="shared" si="11"/>
        <v>1.472632410548038E-3</v>
      </c>
    </row>
    <row r="192" spans="1:10" ht="10.35" customHeight="1">
      <c r="A192" s="84">
        <v>40830</v>
      </c>
      <c r="B192" s="75" t="s">
        <v>161</v>
      </c>
      <c r="C192" s="88">
        <v>23.55</v>
      </c>
      <c r="D192" s="89" t="s">
        <v>162</v>
      </c>
      <c r="E192" s="109">
        <v>8478</v>
      </c>
      <c r="F192" s="91">
        <v>36.21</v>
      </c>
      <c r="G192" s="92">
        <f t="shared" si="14"/>
        <v>306988.38</v>
      </c>
      <c r="I192" s="4">
        <f t="shared" si="11"/>
        <v>2.6918539217070363E-3</v>
      </c>
    </row>
    <row r="193" spans="1:10">
      <c r="A193" s="84">
        <v>40835</v>
      </c>
      <c r="B193" s="75" t="s">
        <v>163</v>
      </c>
      <c r="C193" s="88">
        <v>23.55</v>
      </c>
      <c r="D193" s="89" t="s">
        <v>162</v>
      </c>
      <c r="E193" s="110">
        <v>200</v>
      </c>
      <c r="F193" s="91">
        <v>38.68</v>
      </c>
      <c r="G193" s="92">
        <f t="shared" si="14"/>
        <v>7736</v>
      </c>
      <c r="I193" s="4">
        <f t="shared" si="11"/>
        <v>6.783377904507537E-5</v>
      </c>
    </row>
    <row r="194" spans="1:10" ht="10.9" customHeight="1">
      <c r="A194" s="85"/>
      <c r="B194" s="76"/>
      <c r="C194" s="101"/>
      <c r="D194" s="101"/>
      <c r="E194" s="105"/>
      <c r="F194" s="105"/>
      <c r="G194" s="105"/>
      <c r="I194" s="4"/>
    </row>
    <row r="195" spans="1:10" ht="10.35" customHeight="1">
      <c r="A195" s="83"/>
      <c r="B195" s="78" t="s">
        <v>164</v>
      </c>
      <c r="C195" s="100"/>
      <c r="D195" s="100"/>
      <c r="E195" s="104"/>
      <c r="F195" s="104"/>
      <c r="G195" s="104"/>
      <c r="I195" s="4"/>
    </row>
    <row r="196" spans="1:10">
      <c r="A196" s="84">
        <v>40817</v>
      </c>
      <c r="B196" s="75" t="s">
        <v>165</v>
      </c>
      <c r="C196" s="88">
        <v>23.55</v>
      </c>
      <c r="D196" s="89" t="s">
        <v>11</v>
      </c>
      <c r="E196" s="109">
        <v>1181.1199999999999</v>
      </c>
      <c r="F196" s="91">
        <v>17.13</v>
      </c>
      <c r="G196" s="92">
        <f t="shared" ref="G196" si="15">TRUNC(E196*F196,2)</f>
        <v>20232.580000000002</v>
      </c>
      <c r="I196" s="4">
        <f t="shared" si="11"/>
        <v>1.7741111184485666E-4</v>
      </c>
    </row>
    <row r="197" spans="1:10" ht="10.9" customHeight="1">
      <c r="A197" s="85"/>
      <c r="B197" s="76"/>
      <c r="C197" s="101"/>
      <c r="D197" s="101"/>
      <c r="E197" s="105"/>
      <c r="F197" s="105"/>
      <c r="G197" s="105"/>
      <c r="I197" s="4"/>
    </row>
    <row r="198" spans="1:10" ht="10.35" customHeight="1">
      <c r="A198" s="86" t="s">
        <v>37</v>
      </c>
      <c r="B198" s="79"/>
      <c r="C198" s="101"/>
      <c r="D198" s="101"/>
      <c r="E198" s="105"/>
      <c r="F198" s="105"/>
      <c r="G198" s="123">
        <f>SUM(G184:G186,G191:G193,G196)</f>
        <v>598008.19999999995</v>
      </c>
      <c r="I198" s="4"/>
      <c r="J198" s="12">
        <f>G198</f>
        <v>598008.19999999995</v>
      </c>
    </row>
    <row r="199" spans="1:10" ht="10.35" customHeight="1">
      <c r="A199" s="85"/>
      <c r="B199" s="76"/>
      <c r="C199" s="101"/>
      <c r="D199" s="101"/>
      <c r="E199" s="105"/>
      <c r="F199" s="105"/>
      <c r="G199" s="105"/>
      <c r="I199" s="4"/>
    </row>
    <row r="200" spans="1:10" ht="12.75" customHeight="1">
      <c r="A200" s="85"/>
      <c r="B200" s="76"/>
      <c r="C200" s="101"/>
      <c r="D200" s="101"/>
      <c r="E200" s="105"/>
      <c r="F200" s="105"/>
      <c r="G200" s="105"/>
      <c r="I200" s="4"/>
    </row>
    <row r="201" spans="1:10" ht="12.75" customHeight="1">
      <c r="A201" s="82" t="s">
        <v>1</v>
      </c>
      <c r="B201" s="77" t="s">
        <v>2</v>
      </c>
      <c r="C201" s="99" t="s">
        <v>3</v>
      </c>
      <c r="D201" s="99" t="s">
        <v>4</v>
      </c>
      <c r="E201" s="103" t="s">
        <v>5</v>
      </c>
      <c r="F201" s="103" t="s">
        <v>6</v>
      </c>
      <c r="G201" s="103" t="s">
        <v>7</v>
      </c>
      <c r="I201" s="4"/>
    </row>
    <row r="202" spans="1:10">
      <c r="A202" s="83"/>
      <c r="B202" s="78" t="s">
        <v>166</v>
      </c>
      <c r="C202" s="100"/>
      <c r="D202" s="100"/>
      <c r="E202" s="104"/>
      <c r="F202" s="104"/>
      <c r="G202" s="104"/>
      <c r="I202" s="4"/>
    </row>
    <row r="203" spans="1:10" ht="18">
      <c r="A203" s="87" t="s">
        <v>167</v>
      </c>
      <c r="B203" s="75" t="s">
        <v>168</v>
      </c>
      <c r="C203" s="88">
        <v>23.55</v>
      </c>
      <c r="D203" s="89" t="s">
        <v>75</v>
      </c>
      <c r="E203" s="107">
        <v>43.24</v>
      </c>
      <c r="F203" s="91">
        <v>6045.51</v>
      </c>
      <c r="G203" s="92">
        <f t="shared" ref="G203:G233" si="16">TRUNC(E203*F203,2)</f>
        <v>261407.85</v>
      </c>
      <c r="I203" s="4">
        <f t="shared" ref="I203:I256" si="17">G203/$I$347</f>
        <v>2.2921771377389095E-3</v>
      </c>
    </row>
    <row r="204" spans="1:10" ht="18">
      <c r="A204" s="87" t="s">
        <v>169</v>
      </c>
      <c r="B204" s="75" t="s">
        <v>170</v>
      </c>
      <c r="C204" s="88">
        <v>23.55</v>
      </c>
      <c r="D204" s="89" t="s">
        <v>75</v>
      </c>
      <c r="E204" s="107">
        <v>49.68</v>
      </c>
      <c r="F204" s="91">
        <v>9913.7199999999993</v>
      </c>
      <c r="G204" s="92">
        <f t="shared" si="16"/>
        <v>492513.6</v>
      </c>
      <c r="I204" s="4">
        <f t="shared" si="17"/>
        <v>4.3186477144641451E-3</v>
      </c>
    </row>
    <row r="205" spans="1:10" ht="18">
      <c r="A205" s="87" t="s">
        <v>171</v>
      </c>
      <c r="B205" s="75" t="s">
        <v>172</v>
      </c>
      <c r="C205" s="88">
        <v>23.55</v>
      </c>
      <c r="D205" s="89" t="s">
        <v>75</v>
      </c>
      <c r="E205" s="107">
        <v>52.44</v>
      </c>
      <c r="F205" s="91">
        <v>11217.73</v>
      </c>
      <c r="G205" s="92">
        <f t="shared" si="16"/>
        <v>588257.76</v>
      </c>
      <c r="I205" s="4">
        <f t="shared" si="17"/>
        <v>5.1581885875634659E-3</v>
      </c>
    </row>
    <row r="206" spans="1:10">
      <c r="A206" s="84">
        <v>41816</v>
      </c>
      <c r="B206" s="75" t="s">
        <v>173</v>
      </c>
      <c r="C206" s="88">
        <v>23.55</v>
      </c>
      <c r="D206" s="89" t="s">
        <v>75</v>
      </c>
      <c r="E206" s="110">
        <v>467.5</v>
      </c>
      <c r="F206" s="91">
        <v>838.52</v>
      </c>
      <c r="G206" s="92">
        <f t="shared" si="16"/>
        <v>392008.1</v>
      </c>
      <c r="I206" s="4">
        <f t="shared" si="17"/>
        <v>3.4373566234849801E-3</v>
      </c>
    </row>
    <row r="207" spans="1:10">
      <c r="A207" s="84">
        <v>41821</v>
      </c>
      <c r="B207" s="75" t="s">
        <v>174</v>
      </c>
      <c r="C207" s="88">
        <v>23.55</v>
      </c>
      <c r="D207" s="89" t="s">
        <v>75</v>
      </c>
      <c r="E207" s="107">
        <v>21</v>
      </c>
      <c r="F207" s="91">
        <v>1081.1199999999999</v>
      </c>
      <c r="G207" s="92">
        <f t="shared" si="16"/>
        <v>22703.52</v>
      </c>
      <c r="I207" s="4">
        <f t="shared" si="17"/>
        <v>1.9907776101673339E-4</v>
      </c>
    </row>
    <row r="208" spans="1:10">
      <c r="A208" s="87" t="s">
        <v>175</v>
      </c>
      <c r="B208" s="75" t="s">
        <v>176</v>
      </c>
      <c r="C208" s="88">
        <v>23.55</v>
      </c>
      <c r="D208" s="89" t="s">
        <v>13</v>
      </c>
      <c r="E208" s="112">
        <v>2</v>
      </c>
      <c r="F208" s="91">
        <v>6634.4</v>
      </c>
      <c r="G208" s="92">
        <f t="shared" si="16"/>
        <v>13268.8</v>
      </c>
      <c r="I208" s="4">
        <f t="shared" si="17"/>
        <v>1.1634861005601034E-4</v>
      </c>
    </row>
    <row r="209" spans="1:9">
      <c r="A209" s="84">
        <v>41856</v>
      </c>
      <c r="B209" s="75" t="s">
        <v>177</v>
      </c>
      <c r="C209" s="88">
        <v>23.55</v>
      </c>
      <c r="D209" s="89" t="s">
        <v>13</v>
      </c>
      <c r="E209" s="107">
        <v>24</v>
      </c>
      <c r="F209" s="91">
        <v>1162.6300000000001</v>
      </c>
      <c r="G209" s="92">
        <f t="shared" si="16"/>
        <v>27903.119999999999</v>
      </c>
      <c r="I209" s="4">
        <f t="shared" si="17"/>
        <v>2.4467089926941875E-4</v>
      </c>
    </row>
    <row r="210" spans="1:9">
      <c r="A210" s="84">
        <v>41861</v>
      </c>
      <c r="B210" s="75" t="s">
        <v>178</v>
      </c>
      <c r="C210" s="88">
        <v>23.55</v>
      </c>
      <c r="D210" s="89" t="s">
        <v>13</v>
      </c>
      <c r="E210" s="112">
        <v>1</v>
      </c>
      <c r="F210" s="91">
        <v>1540.34</v>
      </c>
      <c r="G210" s="92">
        <f t="shared" si="16"/>
        <v>1540.34</v>
      </c>
      <c r="I210" s="4">
        <f t="shared" si="17"/>
        <v>1.350660331105111E-5</v>
      </c>
    </row>
    <row r="211" spans="1:9">
      <c r="A211" s="87" t="s">
        <v>179</v>
      </c>
      <c r="B211" s="75" t="s">
        <v>180</v>
      </c>
      <c r="C211" s="88">
        <v>23.55</v>
      </c>
      <c r="D211" s="89" t="s">
        <v>13</v>
      </c>
      <c r="E211" s="112">
        <v>6</v>
      </c>
      <c r="F211" s="91">
        <v>1889.63</v>
      </c>
      <c r="G211" s="92">
        <f t="shared" si="16"/>
        <v>11337.78</v>
      </c>
      <c r="I211" s="4">
        <f t="shared" si="17"/>
        <v>9.9416295680154431E-5</v>
      </c>
    </row>
    <row r="212" spans="1:9">
      <c r="A212" s="87" t="s">
        <v>181</v>
      </c>
      <c r="B212" s="75" t="s">
        <v>182</v>
      </c>
      <c r="C212" s="88">
        <v>23.55</v>
      </c>
      <c r="D212" s="89" t="s">
        <v>13</v>
      </c>
      <c r="E212" s="112">
        <v>2</v>
      </c>
      <c r="F212" s="91">
        <v>2438.1799999999998</v>
      </c>
      <c r="G212" s="92">
        <f t="shared" si="16"/>
        <v>4876.3599999999997</v>
      </c>
      <c r="I212" s="4">
        <f t="shared" si="17"/>
        <v>4.2758780608097685E-5</v>
      </c>
    </row>
    <row r="213" spans="1:9">
      <c r="A213" s="87" t="s">
        <v>98</v>
      </c>
      <c r="B213" s="75" t="s">
        <v>99</v>
      </c>
      <c r="C213" s="88">
        <v>23.55</v>
      </c>
      <c r="D213" s="89" t="s">
        <v>13</v>
      </c>
      <c r="E213" s="112">
        <v>4</v>
      </c>
      <c r="F213" s="91">
        <v>5771.91</v>
      </c>
      <c r="G213" s="92">
        <f t="shared" si="16"/>
        <v>23087.64</v>
      </c>
      <c r="I213" s="4">
        <f t="shared" si="17"/>
        <v>2.0244595015928693E-4</v>
      </c>
    </row>
    <row r="214" spans="1:9">
      <c r="A214" s="87" t="s">
        <v>100</v>
      </c>
      <c r="B214" s="75" t="s">
        <v>101</v>
      </c>
      <c r="C214" s="88">
        <v>23.55</v>
      </c>
      <c r="D214" s="89" t="s">
        <v>13</v>
      </c>
      <c r="E214" s="112">
        <v>2</v>
      </c>
      <c r="F214" s="91">
        <v>6554.79</v>
      </c>
      <c r="G214" s="92">
        <f t="shared" si="16"/>
        <v>13109.58</v>
      </c>
      <c r="I214" s="4">
        <f t="shared" si="17"/>
        <v>1.1495247583941819E-4</v>
      </c>
    </row>
    <row r="215" spans="1:9">
      <c r="A215" s="87" t="s">
        <v>102</v>
      </c>
      <c r="B215" s="75" t="s">
        <v>103</v>
      </c>
      <c r="C215" s="88">
        <v>23.55</v>
      </c>
      <c r="D215" s="89" t="s">
        <v>13</v>
      </c>
      <c r="E215" s="112">
        <v>3</v>
      </c>
      <c r="F215" s="91">
        <v>7793.59</v>
      </c>
      <c r="G215" s="92">
        <f t="shared" si="16"/>
        <v>23380.77</v>
      </c>
      <c r="I215" s="4">
        <f t="shared" si="17"/>
        <v>2.0501628568817565E-4</v>
      </c>
    </row>
    <row r="216" spans="1:9">
      <c r="A216" s="84">
        <v>42856</v>
      </c>
      <c r="B216" s="75" t="s">
        <v>183</v>
      </c>
      <c r="C216" s="88">
        <v>23.55</v>
      </c>
      <c r="D216" s="89" t="s">
        <v>15</v>
      </c>
      <c r="E216" s="110">
        <v>109.88</v>
      </c>
      <c r="F216" s="91">
        <v>277.72000000000003</v>
      </c>
      <c r="G216" s="92">
        <f t="shared" si="16"/>
        <v>30515.87</v>
      </c>
      <c r="I216" s="4">
        <f t="shared" si="17"/>
        <v>2.6758102158069337E-4</v>
      </c>
    </row>
    <row r="217" spans="1:9">
      <c r="A217" s="84">
        <v>42845</v>
      </c>
      <c r="B217" s="75" t="s">
        <v>184</v>
      </c>
      <c r="C217" s="88">
        <v>23.55</v>
      </c>
      <c r="D217" s="89" t="s">
        <v>15</v>
      </c>
      <c r="E217" s="107">
        <v>26.55</v>
      </c>
      <c r="F217" s="91">
        <v>208.3</v>
      </c>
      <c r="G217" s="92">
        <f t="shared" si="16"/>
        <v>5530.36</v>
      </c>
      <c r="I217" s="4">
        <f t="shared" si="17"/>
        <v>4.8493435661804936E-5</v>
      </c>
    </row>
    <row r="218" spans="1:9">
      <c r="A218" s="84">
        <v>40010</v>
      </c>
      <c r="B218" s="75" t="s">
        <v>18</v>
      </c>
      <c r="C218" s="88">
        <v>23.55</v>
      </c>
      <c r="D218" s="89" t="s">
        <v>15</v>
      </c>
      <c r="E218" s="109">
        <v>5933.56</v>
      </c>
      <c r="F218" s="91">
        <v>2.97</v>
      </c>
      <c r="G218" s="92">
        <f t="shared" si="16"/>
        <v>17622.669999999998</v>
      </c>
      <c r="I218" s="4">
        <f t="shared" si="17"/>
        <v>1.5452589231699563E-4</v>
      </c>
    </row>
    <row r="219" spans="1:9">
      <c r="A219" s="87" t="s">
        <v>185</v>
      </c>
      <c r="B219" s="75" t="s">
        <v>186</v>
      </c>
      <c r="C219" s="88">
        <v>23.55</v>
      </c>
      <c r="D219" s="89" t="s">
        <v>15</v>
      </c>
      <c r="E219" s="110">
        <v>340.07</v>
      </c>
      <c r="F219" s="91">
        <v>514.19000000000005</v>
      </c>
      <c r="G219" s="92">
        <f t="shared" si="16"/>
        <v>174860.59</v>
      </c>
      <c r="I219" s="4">
        <f t="shared" si="17"/>
        <v>1.5332800705469901E-3</v>
      </c>
    </row>
    <row r="220" spans="1:9">
      <c r="A220" s="84">
        <v>40102</v>
      </c>
      <c r="B220" s="75" t="s">
        <v>187</v>
      </c>
      <c r="C220" s="88">
        <v>23.55</v>
      </c>
      <c r="D220" s="89" t="s">
        <v>15</v>
      </c>
      <c r="E220" s="109">
        <v>1606.61</v>
      </c>
      <c r="F220" s="91">
        <v>7.52</v>
      </c>
      <c r="G220" s="92">
        <f t="shared" si="16"/>
        <v>12081.7</v>
      </c>
      <c r="I220" s="4">
        <f t="shared" si="17"/>
        <v>1.0593942196081788E-4</v>
      </c>
    </row>
    <row r="221" spans="1:9">
      <c r="A221" s="84">
        <v>40100</v>
      </c>
      <c r="B221" s="75" t="s">
        <v>31</v>
      </c>
      <c r="C221" s="88">
        <v>23.55</v>
      </c>
      <c r="D221" s="89" t="s">
        <v>15</v>
      </c>
      <c r="E221" s="109">
        <v>3936.03</v>
      </c>
      <c r="F221" s="91">
        <v>5.0199999999999996</v>
      </c>
      <c r="G221" s="92">
        <f t="shared" si="16"/>
        <v>19758.87</v>
      </c>
      <c r="I221" s="4">
        <f t="shared" si="17"/>
        <v>1.7325734510863084E-4</v>
      </c>
    </row>
    <row r="222" spans="1:9">
      <c r="A222" s="84">
        <v>42816</v>
      </c>
      <c r="B222" s="75" t="s">
        <v>188</v>
      </c>
      <c r="C222" s="88">
        <v>23.55</v>
      </c>
      <c r="D222" s="89" t="s">
        <v>15</v>
      </c>
      <c r="E222" s="110">
        <v>157.97999999999999</v>
      </c>
      <c r="F222" s="91">
        <v>348.12</v>
      </c>
      <c r="G222" s="92">
        <f t="shared" si="16"/>
        <v>54995.99</v>
      </c>
      <c r="I222" s="4">
        <f t="shared" si="17"/>
        <v>4.8223705196809389E-4</v>
      </c>
    </row>
    <row r="223" spans="1:9">
      <c r="A223" s="84">
        <v>42820</v>
      </c>
      <c r="B223" s="75" t="s">
        <v>189</v>
      </c>
      <c r="C223" s="88">
        <v>23.55</v>
      </c>
      <c r="D223" s="89" t="s">
        <v>15</v>
      </c>
      <c r="E223" s="110">
        <v>242.58</v>
      </c>
      <c r="F223" s="91">
        <v>226.73</v>
      </c>
      <c r="G223" s="92">
        <f t="shared" si="16"/>
        <v>55000.160000000003</v>
      </c>
      <c r="I223" s="4">
        <f t="shared" si="17"/>
        <v>4.8227361697050059E-4</v>
      </c>
    </row>
    <row r="224" spans="1:9">
      <c r="A224" s="84">
        <v>42825</v>
      </c>
      <c r="B224" s="75" t="s">
        <v>190</v>
      </c>
      <c r="C224" s="88">
        <v>23.55</v>
      </c>
      <c r="D224" s="89" t="s">
        <v>15</v>
      </c>
      <c r="E224" s="107">
        <v>35.85</v>
      </c>
      <c r="F224" s="91">
        <v>711.85</v>
      </c>
      <c r="G224" s="92">
        <f t="shared" si="16"/>
        <v>25519.82</v>
      </c>
      <c r="I224" s="4">
        <f t="shared" si="17"/>
        <v>2.2377272894908158E-4</v>
      </c>
    </row>
    <row r="225" spans="1:10">
      <c r="A225" s="84">
        <v>40449</v>
      </c>
      <c r="B225" s="75" t="s">
        <v>136</v>
      </c>
      <c r="C225" s="88">
        <v>23.55</v>
      </c>
      <c r="D225" s="89" t="s">
        <v>65</v>
      </c>
      <c r="E225" s="110">
        <v>112.22</v>
      </c>
      <c r="F225" s="91">
        <v>1.47</v>
      </c>
      <c r="G225" s="92">
        <f t="shared" si="16"/>
        <v>164.96</v>
      </c>
      <c r="I225" s="4">
        <f t="shared" si="17"/>
        <v>1.4464658985620002E-6</v>
      </c>
    </row>
    <row r="226" spans="1:10">
      <c r="A226" s="84">
        <v>40450</v>
      </c>
      <c r="B226" s="75" t="s">
        <v>62</v>
      </c>
      <c r="C226" s="88">
        <v>23.55</v>
      </c>
      <c r="D226" s="89" t="s">
        <v>63</v>
      </c>
      <c r="E226" s="108">
        <v>39073.61</v>
      </c>
      <c r="F226" s="91">
        <v>0.75</v>
      </c>
      <c r="G226" s="92">
        <f t="shared" si="16"/>
        <v>29305.200000000001</v>
      </c>
      <c r="I226" s="4">
        <f t="shared" si="17"/>
        <v>2.5696515792033903E-4</v>
      </c>
    </row>
    <row r="227" spans="1:10">
      <c r="A227" s="84">
        <v>40445</v>
      </c>
      <c r="B227" s="75" t="s">
        <v>137</v>
      </c>
      <c r="C227" s="88">
        <v>23.55</v>
      </c>
      <c r="D227" s="89" t="s">
        <v>17</v>
      </c>
      <c r="E227" s="109">
        <v>1561.81</v>
      </c>
      <c r="F227" s="91">
        <v>1.93</v>
      </c>
      <c r="G227" s="92">
        <f t="shared" si="16"/>
        <v>3014.29</v>
      </c>
      <c r="I227" s="4">
        <f t="shared" si="17"/>
        <v>2.6431060216879553E-5</v>
      </c>
    </row>
    <row r="228" spans="1:10">
      <c r="A228" s="84">
        <v>40455</v>
      </c>
      <c r="B228" s="75" t="s">
        <v>61</v>
      </c>
      <c r="C228" s="88">
        <v>23.55</v>
      </c>
      <c r="D228" s="89" t="s">
        <v>17</v>
      </c>
      <c r="E228" s="108">
        <v>45997.15</v>
      </c>
      <c r="F228" s="91">
        <v>1.3</v>
      </c>
      <c r="G228" s="92">
        <f t="shared" si="16"/>
        <v>59796.29</v>
      </c>
      <c r="I228" s="4">
        <f t="shared" si="17"/>
        <v>5.2432889394716262E-4</v>
      </c>
    </row>
    <row r="229" spans="1:10">
      <c r="A229" s="84">
        <v>47050</v>
      </c>
      <c r="B229" s="75" t="s">
        <v>138</v>
      </c>
      <c r="C229" s="88">
        <v>23.55</v>
      </c>
      <c r="D229" s="89" t="s">
        <v>65</v>
      </c>
      <c r="E229" s="107">
        <v>18.8</v>
      </c>
      <c r="F229" s="91">
        <v>1.47</v>
      </c>
      <c r="G229" s="92">
        <f t="shared" si="16"/>
        <v>27.63</v>
      </c>
      <c r="I229" s="4">
        <f t="shared" si="17"/>
        <v>2.4227602314056776E-7</v>
      </c>
    </row>
    <row r="230" spans="1:10">
      <c r="A230" s="84">
        <v>40451</v>
      </c>
      <c r="B230" s="75" t="s">
        <v>139</v>
      </c>
      <c r="C230" s="88">
        <v>23.55</v>
      </c>
      <c r="D230" s="89" t="s">
        <v>65</v>
      </c>
      <c r="E230" s="110">
        <v>502.08</v>
      </c>
      <c r="F230" s="91">
        <v>0.75</v>
      </c>
      <c r="G230" s="92">
        <f t="shared" si="16"/>
        <v>376.56</v>
      </c>
      <c r="I230" s="4">
        <f t="shared" si="17"/>
        <v>3.3018986345932754E-6</v>
      </c>
    </row>
    <row r="231" spans="1:10">
      <c r="A231" s="84">
        <v>40438</v>
      </c>
      <c r="B231" s="75" t="s">
        <v>191</v>
      </c>
      <c r="C231" s="88">
        <v>23.55</v>
      </c>
      <c r="D231" s="89" t="s">
        <v>65</v>
      </c>
      <c r="E231" s="109">
        <v>1275.95</v>
      </c>
      <c r="F231" s="91">
        <v>1.54</v>
      </c>
      <c r="G231" s="92">
        <f t="shared" si="16"/>
        <v>1964.96</v>
      </c>
      <c r="I231" s="4">
        <f t="shared" si="17"/>
        <v>1.7229920174820489E-5</v>
      </c>
    </row>
    <row r="232" spans="1:10">
      <c r="A232" s="84">
        <v>40454</v>
      </c>
      <c r="B232" s="75" t="s">
        <v>192</v>
      </c>
      <c r="C232" s="88">
        <v>23.55</v>
      </c>
      <c r="D232" s="89" t="s">
        <v>65</v>
      </c>
      <c r="E232" s="106">
        <v>103315.89</v>
      </c>
      <c r="F232" s="91">
        <v>0.79</v>
      </c>
      <c r="G232" s="92">
        <f t="shared" si="16"/>
        <v>81619.55</v>
      </c>
      <c r="I232" s="4">
        <f t="shared" si="17"/>
        <v>7.1568801970766304E-4</v>
      </c>
    </row>
    <row r="233" spans="1:10">
      <c r="A233" s="84">
        <v>40436</v>
      </c>
      <c r="B233" s="75" t="s">
        <v>140</v>
      </c>
      <c r="C233" s="88">
        <v>23.55</v>
      </c>
      <c r="D233" s="89" t="s">
        <v>17</v>
      </c>
      <c r="E233" s="109">
        <v>2974.64</v>
      </c>
      <c r="F233" s="91">
        <v>2.0499999999999998</v>
      </c>
      <c r="G233" s="92">
        <f t="shared" si="16"/>
        <v>6098.01</v>
      </c>
      <c r="I233" s="4">
        <f t="shared" si="17"/>
        <v>5.3470923339537236E-5</v>
      </c>
    </row>
    <row r="234" spans="1:10" ht="10.9" customHeight="1">
      <c r="A234" s="85"/>
      <c r="B234" s="76"/>
      <c r="C234" s="101"/>
      <c r="D234" s="101"/>
      <c r="E234" s="105"/>
      <c r="F234" s="105"/>
      <c r="G234" s="105"/>
      <c r="I234" s="4"/>
    </row>
    <row r="235" spans="1:10" ht="10.35" customHeight="1">
      <c r="A235" s="86" t="s">
        <v>37</v>
      </c>
      <c r="B235" s="79"/>
      <c r="C235" s="101"/>
      <c r="D235" s="101"/>
      <c r="E235" s="105"/>
      <c r="F235" s="105"/>
      <c r="G235" s="122">
        <f>SUM(G203:G233)</f>
        <v>2453648.7000000007</v>
      </c>
      <c r="I235" s="4"/>
      <c r="J235" s="12">
        <f>G235</f>
        <v>2453648.7000000007</v>
      </c>
    </row>
    <row r="236" spans="1:10" ht="10.35" customHeight="1">
      <c r="A236" s="85"/>
      <c r="B236" s="76"/>
      <c r="C236" s="101"/>
      <c r="D236" s="101"/>
      <c r="E236" s="105"/>
      <c r="F236" s="105"/>
      <c r="G236" s="105"/>
      <c r="I236" s="4"/>
    </row>
    <row r="237" spans="1:10" ht="10.9" customHeight="1">
      <c r="A237" s="85"/>
      <c r="B237" s="76"/>
      <c r="C237" s="101"/>
      <c r="D237" s="101"/>
      <c r="E237" s="105"/>
      <c r="F237" s="105"/>
      <c r="G237" s="105"/>
      <c r="I237" s="4"/>
    </row>
    <row r="238" spans="1:10" ht="10.35" customHeight="1">
      <c r="A238" s="82" t="s">
        <v>1</v>
      </c>
      <c r="B238" s="77" t="s">
        <v>2</v>
      </c>
      <c r="C238" s="99" t="s">
        <v>3</v>
      </c>
      <c r="D238" s="99" t="s">
        <v>4</v>
      </c>
      <c r="E238" s="103" t="s">
        <v>5</v>
      </c>
      <c r="F238" s="103" t="s">
        <v>6</v>
      </c>
      <c r="G238" s="103" t="s">
        <v>7</v>
      </c>
      <c r="I238" s="4"/>
    </row>
    <row r="239" spans="1:10" ht="12.75" customHeight="1">
      <c r="A239" s="83"/>
      <c r="B239" s="78" t="s">
        <v>193</v>
      </c>
      <c r="C239" s="100"/>
      <c r="D239" s="100"/>
      <c r="E239" s="104"/>
      <c r="F239" s="104"/>
      <c r="G239" s="104"/>
      <c r="I239" s="4"/>
    </row>
    <row r="240" spans="1:10" ht="12.75" customHeight="1">
      <c r="A240" s="85"/>
      <c r="B240" s="76"/>
      <c r="C240" s="101"/>
      <c r="D240" s="101"/>
      <c r="E240" s="105"/>
      <c r="F240" s="105"/>
      <c r="G240" s="105"/>
      <c r="I240" s="4"/>
    </row>
    <row r="241" spans="1:9" ht="20.45" customHeight="1">
      <c r="A241" s="83"/>
      <c r="B241" s="78" t="s">
        <v>194</v>
      </c>
      <c r="C241" s="100"/>
      <c r="D241" s="100"/>
      <c r="E241" s="104"/>
      <c r="F241" s="104"/>
      <c r="G241" s="104"/>
      <c r="I241" s="4"/>
    </row>
    <row r="242" spans="1:9">
      <c r="A242" s="87" t="s">
        <v>195</v>
      </c>
      <c r="B242" s="75" t="s">
        <v>196</v>
      </c>
      <c r="C242" s="88">
        <v>23.55</v>
      </c>
      <c r="D242" s="89" t="s">
        <v>75</v>
      </c>
      <c r="E242" s="107">
        <v>29</v>
      </c>
      <c r="F242" s="91">
        <v>6509.14</v>
      </c>
      <c r="G242" s="92">
        <f t="shared" ref="G242:G256" si="18">TRUNC(E242*F242,2)</f>
        <v>188765.06</v>
      </c>
      <c r="I242" s="4">
        <f t="shared" si="17"/>
        <v>1.655202607480661E-3</v>
      </c>
    </row>
    <row r="243" spans="1:9">
      <c r="A243" s="87" t="s">
        <v>197</v>
      </c>
      <c r="B243" s="75" t="s">
        <v>198</v>
      </c>
      <c r="C243" s="88">
        <v>23.55</v>
      </c>
      <c r="D243" s="89" t="s">
        <v>75</v>
      </c>
      <c r="E243" s="107">
        <v>20</v>
      </c>
      <c r="F243" s="91">
        <v>5082.37</v>
      </c>
      <c r="G243" s="92">
        <f t="shared" si="18"/>
        <v>101647.4</v>
      </c>
      <c r="I243" s="4">
        <f t="shared" si="17"/>
        <v>8.9130393900030934E-4</v>
      </c>
    </row>
    <row r="244" spans="1:9">
      <c r="A244" s="87" t="s">
        <v>199</v>
      </c>
      <c r="B244" s="75" t="s">
        <v>200</v>
      </c>
      <c r="C244" s="88">
        <v>23.55</v>
      </c>
      <c r="D244" s="89" t="s">
        <v>13</v>
      </c>
      <c r="E244" s="112">
        <v>2</v>
      </c>
      <c r="F244" s="91">
        <v>21055.63</v>
      </c>
      <c r="G244" s="92">
        <f t="shared" si="18"/>
        <v>42111.26</v>
      </c>
      <c r="I244" s="4">
        <f t="shared" si="17"/>
        <v>3.6925619262535169E-4</v>
      </c>
    </row>
    <row r="245" spans="1:9">
      <c r="A245" s="84">
        <v>40010</v>
      </c>
      <c r="B245" s="75" t="s">
        <v>18</v>
      </c>
      <c r="C245" s="88">
        <v>23.55</v>
      </c>
      <c r="D245" s="89" t="s">
        <v>15</v>
      </c>
      <c r="E245" s="109">
        <v>3834.35</v>
      </c>
      <c r="F245" s="91">
        <v>2.97</v>
      </c>
      <c r="G245" s="92">
        <f t="shared" si="18"/>
        <v>11388.01</v>
      </c>
      <c r="I245" s="4">
        <f t="shared" si="17"/>
        <v>9.9856741740319123E-5</v>
      </c>
    </row>
    <row r="246" spans="1:9">
      <c r="A246" s="84">
        <v>40102</v>
      </c>
      <c r="B246" s="75" t="s">
        <v>187</v>
      </c>
      <c r="C246" s="88">
        <v>23.55</v>
      </c>
      <c r="D246" s="89" t="s">
        <v>15</v>
      </c>
      <c r="E246" s="110">
        <v>439.04</v>
      </c>
      <c r="F246" s="91">
        <v>7.52</v>
      </c>
      <c r="G246" s="92">
        <f t="shared" si="18"/>
        <v>3301.58</v>
      </c>
      <c r="I246" s="4">
        <f t="shared" si="17"/>
        <v>2.8950187205227498E-5</v>
      </c>
    </row>
    <row r="247" spans="1:9">
      <c r="A247" s="84">
        <v>40100</v>
      </c>
      <c r="B247" s="75" t="s">
        <v>31</v>
      </c>
      <c r="C247" s="88">
        <v>23.55</v>
      </c>
      <c r="D247" s="89" t="s">
        <v>15</v>
      </c>
      <c r="E247" s="109">
        <v>3199.31</v>
      </c>
      <c r="F247" s="91">
        <v>5.0199999999999996</v>
      </c>
      <c r="G247" s="92">
        <f t="shared" si="18"/>
        <v>16060.53</v>
      </c>
      <c r="I247" s="4">
        <f t="shared" si="17"/>
        <v>1.4082813383748763E-4</v>
      </c>
    </row>
    <row r="248" spans="1:9">
      <c r="A248" s="87" t="s">
        <v>201</v>
      </c>
      <c r="B248" s="75" t="s">
        <v>202</v>
      </c>
      <c r="C248" s="88">
        <v>23.55</v>
      </c>
      <c r="D248" s="89" t="s">
        <v>13</v>
      </c>
      <c r="E248" s="112">
        <v>1</v>
      </c>
      <c r="F248" s="91">
        <v>38172.949999999997</v>
      </c>
      <c r="G248" s="92">
        <f t="shared" si="18"/>
        <v>38172.949999999997</v>
      </c>
      <c r="I248" s="4">
        <f t="shared" si="17"/>
        <v>3.3472278384161187E-4</v>
      </c>
    </row>
    <row r="249" spans="1:9">
      <c r="A249" s="87" t="s">
        <v>203</v>
      </c>
      <c r="B249" s="75" t="s">
        <v>204</v>
      </c>
      <c r="C249" s="88">
        <v>23.55</v>
      </c>
      <c r="D249" s="89" t="s">
        <v>13</v>
      </c>
      <c r="E249" s="112">
        <v>1</v>
      </c>
      <c r="F249" s="91">
        <v>42165.13</v>
      </c>
      <c r="G249" s="92">
        <f t="shared" si="18"/>
        <v>42165.13</v>
      </c>
      <c r="I249" s="4">
        <f t="shared" si="17"/>
        <v>3.6972855633749722E-4</v>
      </c>
    </row>
    <row r="250" spans="1:9">
      <c r="A250" s="84">
        <v>40449</v>
      </c>
      <c r="B250" s="75" t="s">
        <v>136</v>
      </c>
      <c r="C250" s="88">
        <v>23.55</v>
      </c>
      <c r="D250" s="89" t="s">
        <v>65</v>
      </c>
      <c r="E250" s="107">
        <v>59.94</v>
      </c>
      <c r="F250" s="91">
        <v>1.47</v>
      </c>
      <c r="G250" s="92">
        <f t="shared" si="18"/>
        <v>88.11</v>
      </c>
      <c r="I250" s="4">
        <f t="shared" si="17"/>
        <v>7.7260008682285293E-7</v>
      </c>
    </row>
    <row r="251" spans="1:9">
      <c r="A251" s="84">
        <v>40450</v>
      </c>
      <c r="B251" s="75" t="s">
        <v>62</v>
      </c>
      <c r="C251" s="88">
        <v>23.55</v>
      </c>
      <c r="D251" s="89" t="s">
        <v>63</v>
      </c>
      <c r="E251" s="108">
        <v>12982.93</v>
      </c>
      <c r="F251" s="91">
        <v>0.75</v>
      </c>
      <c r="G251" s="92">
        <f t="shared" si="18"/>
        <v>9737.19</v>
      </c>
      <c r="I251" s="4">
        <f t="shared" si="17"/>
        <v>8.5381385080134109E-5</v>
      </c>
    </row>
    <row r="252" spans="1:9">
      <c r="A252" s="84">
        <v>40445</v>
      </c>
      <c r="B252" s="75" t="s">
        <v>137</v>
      </c>
      <c r="C252" s="88">
        <v>23.55</v>
      </c>
      <c r="D252" s="89" t="s">
        <v>17</v>
      </c>
      <c r="E252" s="110">
        <v>726.59</v>
      </c>
      <c r="F252" s="91">
        <v>1.93</v>
      </c>
      <c r="G252" s="92">
        <f t="shared" si="18"/>
        <v>1402.31</v>
      </c>
      <c r="I252" s="4">
        <f t="shared" si="17"/>
        <v>1.2296275425633354E-5</v>
      </c>
    </row>
    <row r="253" spans="1:9">
      <c r="A253" s="84">
        <v>40455</v>
      </c>
      <c r="B253" s="75" t="s">
        <v>61</v>
      </c>
      <c r="C253" s="88">
        <v>23.55</v>
      </c>
      <c r="D253" s="89" t="s">
        <v>17</v>
      </c>
      <c r="E253" s="108">
        <v>22380.28</v>
      </c>
      <c r="F253" s="91">
        <v>1.3</v>
      </c>
      <c r="G253" s="92">
        <f t="shared" si="18"/>
        <v>29094.36</v>
      </c>
      <c r="I253" s="4">
        <f t="shared" si="17"/>
        <v>2.5511638930944661E-4</v>
      </c>
    </row>
    <row r="254" spans="1:9">
      <c r="A254" s="84">
        <v>47050</v>
      </c>
      <c r="B254" s="75" t="s">
        <v>138</v>
      </c>
      <c r="C254" s="88">
        <v>23.55</v>
      </c>
      <c r="D254" s="89" t="s">
        <v>65</v>
      </c>
      <c r="E254" s="107">
        <v>73.77</v>
      </c>
      <c r="F254" s="91">
        <v>1.47</v>
      </c>
      <c r="G254" s="92">
        <f t="shared" si="18"/>
        <v>108.44</v>
      </c>
      <c r="I254" s="4">
        <f t="shared" si="17"/>
        <v>9.5086543428748356E-7</v>
      </c>
    </row>
    <row r="255" spans="1:9">
      <c r="A255" s="84">
        <v>40451</v>
      </c>
      <c r="B255" s="75" t="s">
        <v>139</v>
      </c>
      <c r="C255" s="88">
        <v>23.55</v>
      </c>
      <c r="D255" s="89" t="s">
        <v>65</v>
      </c>
      <c r="E255" s="109">
        <v>3994.08</v>
      </c>
      <c r="F255" s="91">
        <v>0.75</v>
      </c>
      <c r="G255" s="92">
        <f t="shared" si="18"/>
        <v>2995.56</v>
      </c>
      <c r="I255" s="4">
        <f t="shared" si="17"/>
        <v>2.6266824606549373E-5</v>
      </c>
    </row>
    <row r="256" spans="1:9">
      <c r="A256" s="84">
        <v>40436</v>
      </c>
      <c r="B256" s="75" t="s">
        <v>140</v>
      </c>
      <c r="C256" s="88">
        <v>23.55</v>
      </c>
      <c r="D256" s="89" t="s">
        <v>17</v>
      </c>
      <c r="E256" s="110">
        <v>542.44000000000005</v>
      </c>
      <c r="F256" s="91">
        <v>2.0499999999999998</v>
      </c>
      <c r="G256" s="92">
        <f t="shared" si="18"/>
        <v>1112</v>
      </c>
      <c r="I256" s="4">
        <f t="shared" si="17"/>
        <v>9.7506673084441316E-6</v>
      </c>
    </row>
    <row r="257" spans="1:10" ht="10.9" customHeight="1">
      <c r="A257" s="85"/>
      <c r="B257" s="76"/>
      <c r="C257" s="101"/>
      <c r="D257" s="101"/>
      <c r="E257" s="105"/>
      <c r="F257" s="105"/>
      <c r="G257" s="105"/>
      <c r="I257" s="4"/>
    </row>
    <row r="258" spans="1:10">
      <c r="A258" s="86" t="s">
        <v>37</v>
      </c>
      <c r="B258" s="79"/>
      <c r="C258" s="101"/>
      <c r="D258" s="101"/>
      <c r="E258" s="105"/>
      <c r="F258" s="105"/>
      <c r="G258" s="123">
        <f>SUM(G242:G256)</f>
        <v>488149.89</v>
      </c>
      <c r="I258" s="4"/>
      <c r="J258" s="12">
        <f>G258</f>
        <v>488149.89</v>
      </c>
    </row>
    <row r="259" spans="1:10">
      <c r="A259" s="85"/>
      <c r="B259" s="76"/>
      <c r="C259" s="101"/>
      <c r="D259" s="101"/>
      <c r="E259" s="105"/>
      <c r="F259" s="105"/>
      <c r="G259" s="105"/>
      <c r="I259" s="4"/>
    </row>
    <row r="260" spans="1:10">
      <c r="A260" s="85"/>
      <c r="B260" s="76"/>
      <c r="C260" s="101"/>
      <c r="D260" s="101"/>
      <c r="E260" s="105"/>
      <c r="F260" s="105"/>
      <c r="G260" s="105"/>
      <c r="I260" s="4"/>
    </row>
    <row r="261" spans="1:10">
      <c r="A261" s="82" t="s">
        <v>1</v>
      </c>
      <c r="B261" s="77" t="s">
        <v>2</v>
      </c>
      <c r="C261" s="99" t="s">
        <v>3</v>
      </c>
      <c r="D261" s="99" t="s">
        <v>4</v>
      </c>
      <c r="E261" s="103" t="s">
        <v>5</v>
      </c>
      <c r="F261" s="103" t="s">
        <v>6</v>
      </c>
      <c r="G261" s="103" t="s">
        <v>7</v>
      </c>
      <c r="I261" s="4"/>
    </row>
    <row r="262" spans="1:10">
      <c r="A262" s="83"/>
      <c r="B262" s="78" t="s">
        <v>205</v>
      </c>
      <c r="C262" s="100"/>
      <c r="D262" s="100"/>
      <c r="E262" s="104"/>
      <c r="F262" s="104"/>
      <c r="G262" s="104"/>
      <c r="I262" s="4"/>
    </row>
    <row r="263" spans="1:10">
      <c r="A263" s="85"/>
      <c r="B263" s="76"/>
      <c r="C263" s="101"/>
      <c r="D263" s="101"/>
      <c r="E263" s="105"/>
      <c r="F263" s="105"/>
      <c r="G263" s="105"/>
      <c r="I263" s="4"/>
    </row>
    <row r="264" spans="1:10">
      <c r="A264" s="83"/>
      <c r="B264" s="78" t="s">
        <v>206</v>
      </c>
      <c r="C264" s="100"/>
      <c r="D264" s="100"/>
      <c r="E264" s="104"/>
      <c r="F264" s="104"/>
      <c r="G264" s="104"/>
      <c r="I264" s="4"/>
    </row>
    <row r="265" spans="1:10">
      <c r="A265" s="84">
        <v>45005</v>
      </c>
      <c r="B265" s="75" t="s">
        <v>207</v>
      </c>
      <c r="C265" s="88">
        <v>23.55</v>
      </c>
      <c r="D265" s="89" t="s">
        <v>15</v>
      </c>
      <c r="E265" s="110">
        <v>214.7</v>
      </c>
      <c r="F265" s="91">
        <v>98.72</v>
      </c>
      <c r="G265" s="92">
        <f t="shared" ref="G265:G266" si="19">TRUNC(E265*F265,2)</f>
        <v>21195.18</v>
      </c>
      <c r="I265" s="4">
        <f t="shared" ref="I265:I324" si="20">G265/$I$347</f>
        <v>1.8585175244837133E-4</v>
      </c>
    </row>
    <row r="266" spans="1:10">
      <c r="A266" s="84">
        <v>45430</v>
      </c>
      <c r="B266" s="75" t="s">
        <v>208</v>
      </c>
      <c r="C266" s="88">
        <v>23.55</v>
      </c>
      <c r="D266" s="89" t="s">
        <v>15</v>
      </c>
      <c r="E266" s="110">
        <v>129.18</v>
      </c>
      <c r="F266" s="91">
        <v>74.13</v>
      </c>
      <c r="G266" s="92">
        <f t="shared" si="19"/>
        <v>9576.11</v>
      </c>
      <c r="I266" s="4">
        <f t="shared" si="20"/>
        <v>8.3968941294123152E-5</v>
      </c>
    </row>
    <row r="267" spans="1:10">
      <c r="A267" s="85"/>
      <c r="B267" s="76"/>
      <c r="C267" s="101"/>
      <c r="D267" s="101"/>
      <c r="E267" s="105"/>
      <c r="F267" s="105"/>
      <c r="G267" s="105"/>
      <c r="I267" s="4"/>
    </row>
    <row r="268" spans="1:10">
      <c r="A268" s="83"/>
      <c r="B268" s="78" t="s">
        <v>209</v>
      </c>
      <c r="C268" s="100"/>
      <c r="D268" s="100"/>
      <c r="E268" s="104"/>
      <c r="F268" s="104"/>
      <c r="G268" s="104"/>
      <c r="I268" s="4"/>
    </row>
    <row r="269" spans="1:10">
      <c r="A269" s="84">
        <v>45266</v>
      </c>
      <c r="B269" s="75" t="s">
        <v>210</v>
      </c>
      <c r="C269" s="88">
        <v>23.55</v>
      </c>
      <c r="D269" s="89" t="s">
        <v>75</v>
      </c>
      <c r="E269" s="110">
        <v>580</v>
      </c>
      <c r="F269" s="91">
        <v>286.52</v>
      </c>
      <c r="G269" s="92">
        <f t="shared" ref="G269:G271" si="21">TRUNC(E269*F269,2)</f>
        <v>166181.6</v>
      </c>
      <c r="I269" s="4">
        <f t="shared" si="20"/>
        <v>1.4571776028641543E-3</v>
      </c>
    </row>
    <row r="270" spans="1:10">
      <c r="A270" s="84">
        <v>45291</v>
      </c>
      <c r="B270" s="75" t="s">
        <v>211</v>
      </c>
      <c r="C270" s="88">
        <v>23.55</v>
      </c>
      <c r="D270" s="89" t="s">
        <v>15</v>
      </c>
      <c r="E270" s="112">
        <v>7.28</v>
      </c>
      <c r="F270" s="91">
        <v>620.92999999999995</v>
      </c>
      <c r="G270" s="92">
        <f t="shared" si="21"/>
        <v>4520.37</v>
      </c>
      <c r="I270" s="4">
        <f t="shared" si="20"/>
        <v>3.9637251781539208E-5</v>
      </c>
    </row>
    <row r="271" spans="1:10">
      <c r="A271" s="84">
        <v>45155</v>
      </c>
      <c r="B271" s="75" t="s">
        <v>212</v>
      </c>
      <c r="C271" s="88">
        <v>23.55</v>
      </c>
      <c r="D271" s="89" t="s">
        <v>213</v>
      </c>
      <c r="E271" s="108">
        <v>18976</v>
      </c>
      <c r="F271" s="91">
        <v>13.21</v>
      </c>
      <c r="G271" s="92">
        <f t="shared" si="21"/>
        <v>250672.96</v>
      </c>
      <c r="I271" s="4">
        <f t="shared" si="20"/>
        <v>2.1980473346968738E-3</v>
      </c>
    </row>
    <row r="272" spans="1:10">
      <c r="A272" s="85"/>
      <c r="B272" s="76"/>
      <c r="C272" s="101"/>
      <c r="D272" s="101"/>
      <c r="E272" s="105"/>
      <c r="F272" s="105"/>
      <c r="G272" s="105"/>
      <c r="I272" s="4"/>
    </row>
    <row r="273" spans="1:9">
      <c r="A273" s="83"/>
      <c r="B273" s="78" t="s">
        <v>214</v>
      </c>
      <c r="C273" s="100"/>
      <c r="D273" s="100"/>
      <c r="E273" s="104"/>
      <c r="F273" s="104"/>
      <c r="G273" s="104"/>
      <c r="I273" s="4"/>
    </row>
    <row r="274" spans="1:9">
      <c r="A274" s="84">
        <v>45038</v>
      </c>
      <c r="B274" s="75" t="s">
        <v>215</v>
      </c>
      <c r="C274" s="88">
        <v>23.55</v>
      </c>
      <c r="D274" s="89" t="s">
        <v>11</v>
      </c>
      <c r="E274" s="110">
        <v>117.44</v>
      </c>
      <c r="F274" s="91">
        <v>191.07</v>
      </c>
      <c r="G274" s="92">
        <f t="shared" ref="G274:G277" si="22">TRUNC(E274*F274,2)</f>
        <v>22439.26</v>
      </c>
      <c r="I274" s="4">
        <f t="shared" si="20"/>
        <v>1.9676057455726446E-4</v>
      </c>
    </row>
    <row r="275" spans="1:9">
      <c r="A275" s="84">
        <v>45166</v>
      </c>
      <c r="B275" s="75" t="s">
        <v>216</v>
      </c>
      <c r="C275" s="88">
        <v>23.55</v>
      </c>
      <c r="D275" s="89" t="s">
        <v>15</v>
      </c>
      <c r="E275" s="107">
        <v>85.52</v>
      </c>
      <c r="F275" s="91">
        <v>543.22</v>
      </c>
      <c r="G275" s="92">
        <f t="shared" si="22"/>
        <v>46456.17</v>
      </c>
      <c r="I275" s="4">
        <f t="shared" si="20"/>
        <v>4.0735490835838402E-4</v>
      </c>
    </row>
    <row r="276" spans="1:9">
      <c r="A276" s="84">
        <v>45155</v>
      </c>
      <c r="B276" s="75" t="s">
        <v>212</v>
      </c>
      <c r="C276" s="88">
        <v>23.55</v>
      </c>
      <c r="D276" s="89" t="s">
        <v>213</v>
      </c>
      <c r="E276" s="109">
        <v>6504</v>
      </c>
      <c r="F276" s="91">
        <v>13.21</v>
      </c>
      <c r="G276" s="92">
        <f t="shared" si="22"/>
        <v>85917.84</v>
      </c>
      <c r="I276" s="4">
        <f t="shared" si="20"/>
        <v>7.5337794397494027E-4</v>
      </c>
    </row>
    <row r="277" spans="1:9">
      <c r="A277" s="84">
        <v>45050</v>
      </c>
      <c r="B277" s="75" t="s">
        <v>217</v>
      </c>
      <c r="C277" s="88">
        <v>23.55</v>
      </c>
      <c r="D277" s="89" t="s">
        <v>15</v>
      </c>
      <c r="E277" s="112">
        <v>5.36</v>
      </c>
      <c r="F277" s="91">
        <v>473.93</v>
      </c>
      <c r="G277" s="92">
        <f t="shared" si="22"/>
        <v>2540.2600000000002</v>
      </c>
      <c r="I277" s="4">
        <f t="shared" si="20"/>
        <v>2.2274487533226884E-5</v>
      </c>
    </row>
    <row r="278" spans="1:9">
      <c r="A278" s="85"/>
      <c r="B278" s="76"/>
      <c r="C278" s="101"/>
      <c r="D278" s="101"/>
      <c r="E278" s="105"/>
      <c r="F278" s="105"/>
      <c r="G278" s="105"/>
      <c r="I278" s="4"/>
    </row>
    <row r="279" spans="1:9">
      <c r="A279" s="83"/>
      <c r="B279" s="78" t="s">
        <v>218</v>
      </c>
      <c r="C279" s="100"/>
      <c r="D279" s="100"/>
      <c r="E279" s="104"/>
      <c r="F279" s="104"/>
      <c r="G279" s="104"/>
      <c r="I279" s="4"/>
    </row>
    <row r="280" spans="1:9">
      <c r="A280" s="84">
        <v>45038</v>
      </c>
      <c r="B280" s="75" t="s">
        <v>215</v>
      </c>
      <c r="C280" s="88">
        <v>23.55</v>
      </c>
      <c r="D280" s="89" t="s">
        <v>11</v>
      </c>
      <c r="E280" s="110">
        <v>546.66</v>
      </c>
      <c r="F280" s="91">
        <v>191.07</v>
      </c>
      <c r="G280" s="92">
        <f t="shared" ref="G280:G285" si="23">TRUNC(E280*F280,2)</f>
        <v>104450.32</v>
      </c>
      <c r="I280" s="4">
        <f t="shared" si="20"/>
        <v>9.158815832558708E-4</v>
      </c>
    </row>
    <row r="281" spans="1:9">
      <c r="A281" s="84">
        <v>45166</v>
      </c>
      <c r="B281" s="75" t="s">
        <v>216</v>
      </c>
      <c r="C281" s="88">
        <v>23.55</v>
      </c>
      <c r="D281" s="89" t="s">
        <v>15</v>
      </c>
      <c r="E281" s="110">
        <v>138.87</v>
      </c>
      <c r="F281" s="91">
        <v>543.22</v>
      </c>
      <c r="G281" s="92">
        <f t="shared" si="23"/>
        <v>75436.960000000006</v>
      </c>
      <c r="I281" s="4">
        <f t="shared" si="20"/>
        <v>6.614754493888559E-4</v>
      </c>
    </row>
    <row r="282" spans="1:9">
      <c r="A282" s="87" t="s">
        <v>219</v>
      </c>
      <c r="B282" s="75" t="s">
        <v>220</v>
      </c>
      <c r="C282" s="88">
        <v>23.55</v>
      </c>
      <c r="D282" s="89" t="s">
        <v>15</v>
      </c>
      <c r="E282" s="112">
        <v>1.24</v>
      </c>
      <c r="F282" s="91">
        <v>3735.55</v>
      </c>
      <c r="G282" s="92">
        <f t="shared" si="23"/>
        <v>4632.08</v>
      </c>
      <c r="I282" s="4">
        <f t="shared" si="20"/>
        <v>4.0616790491095229E-5</v>
      </c>
    </row>
    <row r="283" spans="1:9">
      <c r="A283" s="84">
        <v>45155</v>
      </c>
      <c r="B283" s="75" t="s">
        <v>212</v>
      </c>
      <c r="C283" s="88">
        <v>23.55</v>
      </c>
      <c r="D283" s="89" t="s">
        <v>213</v>
      </c>
      <c r="E283" s="108">
        <v>18883</v>
      </c>
      <c r="F283" s="91">
        <v>13.21</v>
      </c>
      <c r="G283" s="92">
        <f t="shared" si="23"/>
        <v>249444.43</v>
      </c>
      <c r="I283" s="4">
        <f t="shared" si="20"/>
        <v>2.1872748640957562E-3</v>
      </c>
    </row>
    <row r="284" spans="1:9">
      <c r="A284" s="84">
        <v>45235</v>
      </c>
      <c r="B284" s="75" t="s">
        <v>221</v>
      </c>
      <c r="C284" s="88">
        <v>23.55</v>
      </c>
      <c r="D284" s="89" t="s">
        <v>213</v>
      </c>
      <c r="E284" s="110">
        <v>615.38</v>
      </c>
      <c r="F284" s="91">
        <v>50.98</v>
      </c>
      <c r="G284" s="92">
        <f t="shared" si="23"/>
        <v>31372.07</v>
      </c>
      <c r="I284" s="4">
        <f t="shared" si="20"/>
        <v>2.7508868466476699E-4</v>
      </c>
    </row>
    <row r="285" spans="1:9">
      <c r="A285" s="84">
        <v>45135</v>
      </c>
      <c r="B285" s="75" t="s">
        <v>222</v>
      </c>
      <c r="C285" s="88">
        <v>23.55</v>
      </c>
      <c r="D285" s="89" t="s">
        <v>15</v>
      </c>
      <c r="E285" s="109">
        <v>1185.1099999999999</v>
      </c>
      <c r="F285" s="91">
        <v>112.41</v>
      </c>
      <c r="G285" s="92">
        <f t="shared" si="23"/>
        <v>133218.21</v>
      </c>
      <c r="I285" s="4">
        <f t="shared" si="20"/>
        <v>1.1681352923888894E-3</v>
      </c>
    </row>
    <row r="286" spans="1:9">
      <c r="A286" s="85"/>
      <c r="B286" s="76"/>
      <c r="C286" s="101"/>
      <c r="D286" s="101"/>
      <c r="E286" s="105"/>
      <c r="F286" s="105"/>
      <c r="G286" s="105"/>
      <c r="I286" s="4"/>
    </row>
    <row r="287" spans="1:9" ht="20.45" customHeight="1">
      <c r="A287" s="83"/>
      <c r="B287" s="78" t="s">
        <v>223</v>
      </c>
      <c r="C287" s="100"/>
      <c r="D287" s="100"/>
      <c r="E287" s="104"/>
      <c r="F287" s="104"/>
      <c r="G287" s="104"/>
      <c r="I287" s="4"/>
    </row>
    <row r="288" spans="1:9">
      <c r="A288" s="84">
        <v>45038</v>
      </c>
      <c r="B288" s="75" t="s">
        <v>215</v>
      </c>
      <c r="C288" s="88">
        <v>23.55</v>
      </c>
      <c r="D288" s="89" t="s">
        <v>11</v>
      </c>
      <c r="E288" s="109">
        <v>1695.3</v>
      </c>
      <c r="F288" s="91">
        <v>191.07</v>
      </c>
      <c r="G288" s="92">
        <f t="shared" ref="G288:G296" si="24">TRUNC(E288*F288,2)</f>
        <v>323920.96999999997</v>
      </c>
      <c r="I288" s="4">
        <f t="shared" si="20"/>
        <v>2.8403287883979429E-3</v>
      </c>
    </row>
    <row r="289" spans="1:9">
      <c r="A289" s="84">
        <v>45168</v>
      </c>
      <c r="B289" s="75" t="s">
        <v>224</v>
      </c>
      <c r="C289" s="88">
        <v>23.55</v>
      </c>
      <c r="D289" s="89" t="s">
        <v>15</v>
      </c>
      <c r="E289" s="110">
        <v>247.2</v>
      </c>
      <c r="F289" s="91">
        <v>611.85</v>
      </c>
      <c r="G289" s="92">
        <f t="shared" si="24"/>
        <v>151249.32</v>
      </c>
      <c r="I289" s="4">
        <f t="shared" si="20"/>
        <v>1.3262426258528826E-3</v>
      </c>
    </row>
    <row r="290" spans="1:9">
      <c r="A290" s="84">
        <v>45155</v>
      </c>
      <c r="B290" s="75" t="s">
        <v>212</v>
      </c>
      <c r="C290" s="88">
        <v>23.55</v>
      </c>
      <c r="D290" s="89" t="s">
        <v>213</v>
      </c>
      <c r="E290" s="108">
        <v>29001</v>
      </c>
      <c r="F290" s="91">
        <v>13.21</v>
      </c>
      <c r="G290" s="92">
        <f t="shared" si="24"/>
        <v>383103.21</v>
      </c>
      <c r="I290" s="4">
        <f t="shared" si="20"/>
        <v>3.3592733322904741E-3</v>
      </c>
    </row>
    <row r="291" spans="1:9">
      <c r="A291" s="84">
        <v>45701</v>
      </c>
      <c r="B291" s="75" t="s">
        <v>225</v>
      </c>
      <c r="C291" s="88">
        <v>23.55</v>
      </c>
      <c r="D291" s="89" t="s">
        <v>213</v>
      </c>
      <c r="E291" s="109">
        <v>7089</v>
      </c>
      <c r="F291" s="91">
        <v>13.21</v>
      </c>
      <c r="G291" s="92">
        <f t="shared" si="24"/>
        <v>93645.69</v>
      </c>
      <c r="I291" s="4">
        <f t="shared" si="20"/>
        <v>8.211402590464871E-4</v>
      </c>
    </row>
    <row r="292" spans="1:9" ht="18">
      <c r="A292" s="84">
        <v>45735</v>
      </c>
      <c r="B292" s="75" t="s">
        <v>226</v>
      </c>
      <c r="C292" s="88">
        <v>23.55</v>
      </c>
      <c r="D292" s="89" t="s">
        <v>13</v>
      </c>
      <c r="E292" s="107">
        <v>90</v>
      </c>
      <c r="F292" s="91">
        <v>1421.56</v>
      </c>
      <c r="G292" s="92">
        <f t="shared" si="24"/>
        <v>127940.4</v>
      </c>
      <c r="I292" s="4">
        <f t="shared" si="20"/>
        <v>1.1218563630479006E-3</v>
      </c>
    </row>
    <row r="293" spans="1:9">
      <c r="A293" s="84">
        <v>45725</v>
      </c>
      <c r="B293" s="75" t="s">
        <v>227</v>
      </c>
      <c r="C293" s="88">
        <v>23.55</v>
      </c>
      <c r="D293" s="89" t="s">
        <v>75</v>
      </c>
      <c r="E293" s="110">
        <v>906.75</v>
      </c>
      <c r="F293" s="91">
        <v>35</v>
      </c>
      <c r="G293" s="92">
        <f t="shared" si="24"/>
        <v>31736.25</v>
      </c>
      <c r="I293" s="4">
        <f t="shared" si="20"/>
        <v>2.7828202820828247E-4</v>
      </c>
    </row>
    <row r="294" spans="1:9">
      <c r="A294" s="87" t="s">
        <v>228</v>
      </c>
      <c r="B294" s="75" t="s">
        <v>229</v>
      </c>
      <c r="C294" s="88">
        <v>23.55</v>
      </c>
      <c r="D294" s="89" t="s">
        <v>13</v>
      </c>
      <c r="E294" s="107">
        <v>15</v>
      </c>
      <c r="F294" s="91">
        <v>4752.2</v>
      </c>
      <c r="G294" s="92">
        <f t="shared" si="24"/>
        <v>71283</v>
      </c>
      <c r="I294" s="4">
        <f t="shared" si="20"/>
        <v>6.2505109509696324E-4</v>
      </c>
    </row>
    <row r="295" spans="1:9" ht="18">
      <c r="A295" s="87" t="s">
        <v>230</v>
      </c>
      <c r="B295" s="75" t="s">
        <v>231</v>
      </c>
      <c r="C295" s="88">
        <v>23.55</v>
      </c>
      <c r="D295" s="89" t="s">
        <v>13</v>
      </c>
      <c r="E295" s="107">
        <v>15</v>
      </c>
      <c r="F295" s="91">
        <v>3722.66</v>
      </c>
      <c r="G295" s="92">
        <f t="shared" si="24"/>
        <v>55839.9</v>
      </c>
      <c r="I295" s="4">
        <f t="shared" si="20"/>
        <v>4.8963694913380356E-4</v>
      </c>
    </row>
    <row r="296" spans="1:9">
      <c r="A296" s="84">
        <v>45201</v>
      </c>
      <c r="B296" s="75" t="s">
        <v>232</v>
      </c>
      <c r="C296" s="88">
        <v>23.55</v>
      </c>
      <c r="D296" s="89" t="s">
        <v>233</v>
      </c>
      <c r="E296" s="110">
        <v>150</v>
      </c>
      <c r="F296" s="91">
        <v>65.64</v>
      </c>
      <c r="G296" s="92">
        <f t="shared" si="24"/>
        <v>9846</v>
      </c>
      <c r="I296" s="4">
        <f t="shared" si="20"/>
        <v>8.6335494891133925E-5</v>
      </c>
    </row>
    <row r="297" spans="1:9" ht="10.35" customHeight="1">
      <c r="A297" s="85"/>
      <c r="B297" s="76"/>
      <c r="C297" s="101"/>
      <c r="D297" s="101"/>
      <c r="E297" s="105"/>
      <c r="F297" s="105"/>
      <c r="G297" s="105"/>
      <c r="I297" s="4"/>
    </row>
    <row r="298" spans="1:9" ht="20.45" customHeight="1">
      <c r="A298" s="83"/>
      <c r="B298" s="78" t="s">
        <v>234</v>
      </c>
      <c r="C298" s="100"/>
      <c r="D298" s="100"/>
      <c r="E298" s="104"/>
      <c r="F298" s="104"/>
      <c r="G298" s="104"/>
      <c r="I298" s="4"/>
    </row>
    <row r="299" spans="1:9">
      <c r="A299" s="84">
        <v>45038</v>
      </c>
      <c r="B299" s="75" t="s">
        <v>215</v>
      </c>
      <c r="C299" s="88">
        <v>23.55</v>
      </c>
      <c r="D299" s="89" t="s">
        <v>11</v>
      </c>
      <c r="E299" s="110">
        <v>181.32</v>
      </c>
      <c r="F299" s="91">
        <v>191.07</v>
      </c>
      <c r="G299" s="92">
        <f t="shared" ref="G299:G303" si="25">TRUNC(E299*F299,2)</f>
        <v>34644.81</v>
      </c>
      <c r="I299" s="4">
        <f t="shared" si="20"/>
        <v>3.0378598585814598E-4</v>
      </c>
    </row>
    <row r="300" spans="1:9">
      <c r="A300" s="84">
        <v>45168</v>
      </c>
      <c r="B300" s="75" t="s">
        <v>224</v>
      </c>
      <c r="C300" s="88">
        <v>23.55</v>
      </c>
      <c r="D300" s="89" t="s">
        <v>15</v>
      </c>
      <c r="E300" s="110">
        <v>134.36000000000001</v>
      </c>
      <c r="F300" s="91">
        <v>611.85</v>
      </c>
      <c r="G300" s="92">
        <f t="shared" si="25"/>
        <v>82208.160000000003</v>
      </c>
      <c r="I300" s="4">
        <f t="shared" si="20"/>
        <v>7.2084929694185671E-4</v>
      </c>
    </row>
    <row r="301" spans="1:9">
      <c r="A301" s="84">
        <v>45155</v>
      </c>
      <c r="B301" s="75" t="s">
        <v>212</v>
      </c>
      <c r="C301" s="88">
        <v>23.55</v>
      </c>
      <c r="D301" s="89" t="s">
        <v>213</v>
      </c>
      <c r="E301" s="108">
        <v>18851</v>
      </c>
      <c r="F301" s="91">
        <v>13.21</v>
      </c>
      <c r="G301" s="92">
        <f t="shared" si="25"/>
        <v>249021.71</v>
      </c>
      <c r="I301" s="4">
        <f t="shared" si="20"/>
        <v>2.1835682075448336E-3</v>
      </c>
    </row>
    <row r="302" spans="1:9">
      <c r="A302" s="84">
        <v>45135</v>
      </c>
      <c r="B302" s="75" t="s">
        <v>222</v>
      </c>
      <c r="C302" s="88">
        <v>23.55</v>
      </c>
      <c r="D302" s="89" t="s">
        <v>15</v>
      </c>
      <c r="E302" s="109">
        <v>1954.26</v>
      </c>
      <c r="F302" s="91">
        <v>112.41</v>
      </c>
      <c r="G302" s="92">
        <f t="shared" si="25"/>
        <v>219678.36</v>
      </c>
      <c r="I302" s="4">
        <f t="shared" si="20"/>
        <v>1.9262685280796951E-3</v>
      </c>
    </row>
    <row r="303" spans="1:9">
      <c r="A303" s="84">
        <v>45151</v>
      </c>
      <c r="B303" s="75" t="s">
        <v>235</v>
      </c>
      <c r="C303" s="88">
        <v>23.55</v>
      </c>
      <c r="D303" s="89" t="s">
        <v>13</v>
      </c>
      <c r="E303" s="110">
        <v>452</v>
      </c>
      <c r="F303" s="91">
        <v>114.46</v>
      </c>
      <c r="G303" s="92">
        <f t="shared" si="25"/>
        <v>51735.92</v>
      </c>
      <c r="I303" s="4">
        <f t="shared" si="20"/>
        <v>4.5365084875564833E-4</v>
      </c>
    </row>
    <row r="304" spans="1:9">
      <c r="A304" s="85"/>
      <c r="B304" s="76"/>
      <c r="C304" s="101"/>
      <c r="D304" s="101"/>
      <c r="E304" s="105"/>
      <c r="F304" s="105"/>
      <c r="G304" s="105"/>
      <c r="I304" s="4"/>
    </row>
    <row r="305" spans="1:9" ht="20.45" customHeight="1">
      <c r="A305" s="83"/>
      <c r="B305" s="78" t="s">
        <v>236</v>
      </c>
      <c r="C305" s="100"/>
      <c r="D305" s="100"/>
      <c r="E305" s="104"/>
      <c r="F305" s="104"/>
      <c r="G305" s="104"/>
      <c r="I305" s="4"/>
    </row>
    <row r="306" spans="1:9" ht="10.9" customHeight="1">
      <c r="A306" s="84">
        <v>45038</v>
      </c>
      <c r="B306" s="75" t="s">
        <v>215</v>
      </c>
      <c r="C306" s="88">
        <v>23.55</v>
      </c>
      <c r="D306" s="89" t="s">
        <v>11</v>
      </c>
      <c r="E306" s="107">
        <v>17.12</v>
      </c>
      <c r="F306" s="91">
        <v>191.07</v>
      </c>
      <c r="G306" s="92">
        <f t="shared" ref="G306:G308" si="26">TRUNC(E306*F306,2)</f>
        <v>3271.11</v>
      </c>
      <c r="I306" s="4">
        <f t="shared" si="20"/>
        <v>2.868300839867328E-5</v>
      </c>
    </row>
    <row r="307" spans="1:9" ht="10.35" customHeight="1">
      <c r="A307" s="84">
        <v>45166</v>
      </c>
      <c r="B307" s="75" t="s">
        <v>216</v>
      </c>
      <c r="C307" s="88">
        <v>23.55</v>
      </c>
      <c r="D307" s="89" t="s">
        <v>15</v>
      </c>
      <c r="E307" s="107">
        <v>24.62</v>
      </c>
      <c r="F307" s="91">
        <v>543.22</v>
      </c>
      <c r="G307" s="92">
        <f t="shared" si="26"/>
        <v>13374.07</v>
      </c>
      <c r="I307" s="4">
        <f t="shared" si="20"/>
        <v>1.1727167907360019E-4</v>
      </c>
    </row>
    <row r="308" spans="1:9">
      <c r="A308" s="84">
        <v>45155</v>
      </c>
      <c r="B308" s="75" t="s">
        <v>212</v>
      </c>
      <c r="C308" s="88">
        <v>23.55</v>
      </c>
      <c r="D308" s="89" t="s">
        <v>213</v>
      </c>
      <c r="E308" s="109">
        <v>1944</v>
      </c>
      <c r="F308" s="91">
        <v>13.21</v>
      </c>
      <c r="G308" s="92">
        <f t="shared" si="26"/>
        <v>25680.240000000002</v>
      </c>
      <c r="I308" s="4">
        <f t="shared" si="20"/>
        <v>2.2517938546852461E-4</v>
      </c>
    </row>
    <row r="309" spans="1:9" ht="10.35" customHeight="1">
      <c r="A309" s="85"/>
      <c r="B309" s="76"/>
      <c r="C309" s="101"/>
      <c r="D309" s="101"/>
      <c r="E309" s="105"/>
      <c r="F309" s="105"/>
      <c r="G309" s="105"/>
      <c r="I309" s="4"/>
    </row>
    <row r="310" spans="1:9" ht="20.45" customHeight="1">
      <c r="A310" s="83"/>
      <c r="B310" s="78" t="s">
        <v>237</v>
      </c>
      <c r="C310" s="100"/>
      <c r="D310" s="100"/>
      <c r="E310" s="104"/>
      <c r="F310" s="104"/>
      <c r="G310" s="104"/>
      <c r="I310" s="4"/>
    </row>
    <row r="311" spans="1:9" ht="10.9" customHeight="1">
      <c r="A311" s="84">
        <v>45038</v>
      </c>
      <c r="B311" s="75" t="s">
        <v>215</v>
      </c>
      <c r="C311" s="88">
        <v>23.55</v>
      </c>
      <c r="D311" s="89" t="s">
        <v>11</v>
      </c>
      <c r="E311" s="110">
        <v>239.36</v>
      </c>
      <c r="F311" s="91">
        <v>191.07</v>
      </c>
      <c r="G311" s="92">
        <f t="shared" ref="G311:G313" si="27">TRUNC(E311*F311,2)</f>
        <v>45734.51</v>
      </c>
      <c r="I311" s="4">
        <f t="shared" si="20"/>
        <v>4.0102697079560365E-4</v>
      </c>
    </row>
    <row r="312" spans="1:9" ht="10.35" customHeight="1">
      <c r="A312" s="84">
        <v>45166</v>
      </c>
      <c r="B312" s="75" t="s">
        <v>216</v>
      </c>
      <c r="C312" s="88">
        <v>23.55</v>
      </c>
      <c r="D312" s="89" t="s">
        <v>15</v>
      </c>
      <c r="E312" s="107">
        <v>31.66</v>
      </c>
      <c r="F312" s="91">
        <v>543.22</v>
      </c>
      <c r="G312" s="92">
        <f t="shared" si="27"/>
        <v>17198.34</v>
      </c>
      <c r="I312" s="4">
        <f t="shared" si="20"/>
        <v>1.5080511834308189E-4</v>
      </c>
    </row>
    <row r="313" spans="1:9" ht="10.35" customHeight="1">
      <c r="A313" s="84">
        <v>45155</v>
      </c>
      <c r="B313" s="75" t="s">
        <v>212</v>
      </c>
      <c r="C313" s="88">
        <v>23.55</v>
      </c>
      <c r="D313" s="89" t="s">
        <v>213</v>
      </c>
      <c r="E313" s="109">
        <v>2727</v>
      </c>
      <c r="F313" s="91">
        <v>13.21</v>
      </c>
      <c r="G313" s="92">
        <f t="shared" si="27"/>
        <v>36023.67</v>
      </c>
      <c r="I313" s="4">
        <f t="shared" si="20"/>
        <v>3.1587663794890251E-4</v>
      </c>
    </row>
    <row r="314" spans="1:9" ht="10.35" customHeight="1">
      <c r="A314" s="85"/>
      <c r="B314" s="76"/>
      <c r="C314" s="101"/>
      <c r="D314" s="101"/>
      <c r="E314" s="105"/>
      <c r="F314" s="105"/>
      <c r="G314" s="105"/>
      <c r="I314" s="4"/>
    </row>
    <row r="315" spans="1:9" ht="10.35" customHeight="1">
      <c r="A315" s="83"/>
      <c r="B315" s="78" t="s">
        <v>238</v>
      </c>
      <c r="C315" s="100"/>
      <c r="D315" s="100"/>
      <c r="E315" s="104"/>
      <c r="F315" s="104"/>
      <c r="G315" s="104"/>
      <c r="I315" s="4"/>
    </row>
    <row r="316" spans="1:9">
      <c r="A316" s="84">
        <v>47050</v>
      </c>
      <c r="B316" s="75" t="s">
        <v>138</v>
      </c>
      <c r="C316" s="88">
        <v>23.55</v>
      </c>
      <c r="D316" s="89" t="s">
        <v>65</v>
      </c>
      <c r="E316" s="110">
        <v>134.41999999999999</v>
      </c>
      <c r="F316" s="91">
        <v>1.47</v>
      </c>
      <c r="G316" s="92">
        <f t="shared" ref="G316:G320" si="28">TRUNC(E316*F316,2)</f>
        <v>197.59</v>
      </c>
      <c r="I316" s="4">
        <f t="shared" si="20"/>
        <v>1.7325848502477303E-6</v>
      </c>
    </row>
    <row r="317" spans="1:9" ht="10.35" customHeight="1">
      <c r="A317" s="84">
        <v>40451</v>
      </c>
      <c r="B317" s="75" t="s">
        <v>139</v>
      </c>
      <c r="C317" s="88">
        <v>23.55</v>
      </c>
      <c r="D317" s="89" t="s">
        <v>65</v>
      </c>
      <c r="E317" s="106">
        <v>167105.78</v>
      </c>
      <c r="F317" s="91">
        <v>0.75</v>
      </c>
      <c r="G317" s="92">
        <f t="shared" si="28"/>
        <v>125329.33</v>
      </c>
      <c r="I317" s="4">
        <f t="shared" si="20"/>
        <v>1.0989609719606174E-3</v>
      </c>
    </row>
    <row r="318" spans="1:9" ht="10.9" customHeight="1">
      <c r="A318" s="84">
        <v>45205</v>
      </c>
      <c r="B318" s="75" t="s">
        <v>239</v>
      </c>
      <c r="C318" s="88">
        <v>23.55</v>
      </c>
      <c r="D318" s="89" t="s">
        <v>65</v>
      </c>
      <c r="E318" s="106">
        <v>167003.07999999999</v>
      </c>
      <c r="F318" s="91">
        <v>0.87</v>
      </c>
      <c r="G318" s="92">
        <f t="shared" si="28"/>
        <v>145292.67000000001</v>
      </c>
      <c r="I318" s="4">
        <f t="shared" si="20"/>
        <v>1.2740112297891743E-3</v>
      </c>
    </row>
    <row r="319" spans="1:9" ht="10.35" customHeight="1">
      <c r="A319" s="84">
        <v>45206</v>
      </c>
      <c r="B319" s="75" t="s">
        <v>240</v>
      </c>
      <c r="C319" s="88">
        <v>23.55</v>
      </c>
      <c r="D319" s="89" t="s">
        <v>65</v>
      </c>
      <c r="E319" s="107">
        <v>42.51</v>
      </c>
      <c r="F319" s="91">
        <v>0.75</v>
      </c>
      <c r="G319" s="92">
        <f t="shared" si="28"/>
        <v>31.88</v>
      </c>
      <c r="I319" s="4">
        <f t="shared" si="20"/>
        <v>2.7954251240395587E-7</v>
      </c>
    </row>
    <row r="320" spans="1:9" ht="10.35" customHeight="1">
      <c r="A320" s="84">
        <v>40436</v>
      </c>
      <c r="B320" s="75" t="s">
        <v>140</v>
      </c>
      <c r="C320" s="88">
        <v>23.55</v>
      </c>
      <c r="D320" s="89" t="s">
        <v>17</v>
      </c>
      <c r="E320" s="110">
        <v>430.45</v>
      </c>
      <c r="F320" s="91">
        <v>2.0499999999999998</v>
      </c>
      <c r="G320" s="92">
        <f t="shared" si="28"/>
        <v>882.42</v>
      </c>
      <c r="I320" s="4">
        <f t="shared" si="20"/>
        <v>7.7375754013644514E-6</v>
      </c>
    </row>
    <row r="321" spans="1:10" ht="10.35" customHeight="1">
      <c r="A321" s="85"/>
      <c r="B321" s="76"/>
      <c r="C321" s="101"/>
      <c r="D321" s="101"/>
      <c r="E321" s="105"/>
      <c r="F321" s="105"/>
      <c r="G321" s="105"/>
      <c r="I321" s="4"/>
    </row>
    <row r="322" spans="1:10" ht="10.9" customHeight="1">
      <c r="A322" s="83"/>
      <c r="B322" s="78" t="s">
        <v>241</v>
      </c>
      <c r="C322" s="100"/>
      <c r="D322" s="100"/>
      <c r="E322" s="104"/>
      <c r="F322" s="104"/>
      <c r="G322" s="104"/>
      <c r="I322" s="4"/>
    </row>
    <row r="323" spans="1:10" ht="10.35" customHeight="1">
      <c r="A323" s="84">
        <v>45230</v>
      </c>
      <c r="B323" s="75" t="s">
        <v>242</v>
      </c>
      <c r="C323" s="88">
        <v>23.55</v>
      </c>
      <c r="D323" s="89" t="s">
        <v>13</v>
      </c>
      <c r="E323" s="107">
        <v>30</v>
      </c>
      <c r="F323" s="91">
        <v>8.64</v>
      </c>
      <c r="G323" s="92">
        <f t="shared" ref="G323:G324" si="29">TRUNC(E323*F323,2)</f>
        <v>259.2</v>
      </c>
      <c r="I323" s="4">
        <f t="shared" si="20"/>
        <v>2.2728174157812221E-6</v>
      </c>
    </row>
    <row r="324" spans="1:10" ht="10.9" customHeight="1">
      <c r="A324" s="84">
        <v>42856</v>
      </c>
      <c r="B324" s="75" t="s">
        <v>183</v>
      </c>
      <c r="C324" s="88">
        <v>23.55</v>
      </c>
      <c r="D324" s="89" t="s">
        <v>15</v>
      </c>
      <c r="E324" s="109">
        <v>1023.11</v>
      </c>
      <c r="F324" s="91">
        <v>277.72000000000003</v>
      </c>
      <c r="G324" s="92">
        <f t="shared" si="29"/>
        <v>284138.09999999998</v>
      </c>
      <c r="I324" s="4">
        <f t="shared" si="20"/>
        <v>2.4914892830516454E-3</v>
      </c>
    </row>
    <row r="325" spans="1:10" ht="10.9" customHeight="1">
      <c r="A325" s="85"/>
      <c r="B325" s="76"/>
      <c r="C325" s="101"/>
      <c r="D325" s="101"/>
      <c r="E325" s="105"/>
      <c r="F325" s="105"/>
      <c r="G325" s="105"/>
    </row>
    <row r="326" spans="1:10" ht="10.35" customHeight="1">
      <c r="A326" s="86" t="s">
        <v>37</v>
      </c>
      <c r="B326" s="79"/>
      <c r="C326" s="101"/>
      <c r="D326" s="101"/>
      <c r="E326" s="105"/>
      <c r="F326" s="105"/>
      <c r="G326" s="122">
        <f>SUM(G265:G266,G269:G271,G274:G277,G280:G285,G288:G296,G299:G303,G306:G308,G311:G313,G316:G320,G323:G324)</f>
        <v>3791320.6499999994</v>
      </c>
      <c r="J326" s="12">
        <f>G326</f>
        <v>3791320.6499999994</v>
      </c>
    </row>
    <row r="327" spans="1:10" ht="10.35" customHeight="1">
      <c r="A327" s="85"/>
      <c r="B327" s="76"/>
      <c r="C327" s="101"/>
      <c r="D327" s="101"/>
      <c r="E327" s="105"/>
      <c r="F327" s="105"/>
      <c r="G327" s="105"/>
    </row>
    <row r="328" spans="1:10" ht="10.35" customHeight="1">
      <c r="A328" s="85"/>
      <c r="B328" s="76"/>
      <c r="C328" s="101"/>
      <c r="D328" s="101"/>
      <c r="E328" s="105"/>
      <c r="F328" s="105"/>
      <c r="G328" s="105"/>
    </row>
    <row r="329" spans="1:10" ht="10.9" customHeight="1">
      <c r="A329" s="82" t="s">
        <v>1</v>
      </c>
      <c r="B329" s="77" t="s">
        <v>2</v>
      </c>
      <c r="C329" s="99" t="s">
        <v>3</v>
      </c>
      <c r="D329" s="99" t="s">
        <v>4</v>
      </c>
      <c r="E329" s="103" t="s">
        <v>5</v>
      </c>
      <c r="F329" s="103" t="s">
        <v>6</v>
      </c>
      <c r="G329" s="103" t="s">
        <v>7</v>
      </c>
    </row>
    <row r="330" spans="1:10" ht="10.35" customHeight="1">
      <c r="A330" s="83"/>
      <c r="B330" s="78" t="s">
        <v>243</v>
      </c>
      <c r="C330" s="100"/>
      <c r="D330" s="100"/>
      <c r="E330" s="104"/>
      <c r="F330" s="104"/>
      <c r="G330" s="104"/>
      <c r="I330" s="4"/>
    </row>
    <row r="331" spans="1:10" ht="10.9" customHeight="1">
      <c r="A331" s="84">
        <v>42170</v>
      </c>
      <c r="B331" s="75" t="s">
        <v>255</v>
      </c>
      <c r="C331" s="88">
        <v>23.55</v>
      </c>
      <c r="D331" s="89" t="s">
        <v>13</v>
      </c>
      <c r="E331" s="112">
        <v>1</v>
      </c>
      <c r="F331" s="95">
        <f>'ADM LOCAL'!F49</f>
        <v>4729743.2</v>
      </c>
      <c r="G331" s="92">
        <f t="shared" ref="G331" si="30">TRUNC(E331*F331,2)</f>
        <v>4729743.2</v>
      </c>
      <c r="I331" s="4">
        <f>G331/$I$347</f>
        <v>4.1473158630913616E-2</v>
      </c>
    </row>
    <row r="332" spans="1:10" ht="10.9" customHeight="1">
      <c r="A332" s="85"/>
      <c r="B332" s="76"/>
      <c r="C332" s="101"/>
      <c r="D332" s="101"/>
      <c r="E332" s="105"/>
      <c r="F332" s="105"/>
      <c r="G332" s="105"/>
    </row>
    <row r="333" spans="1:10" ht="10.35" customHeight="1">
      <c r="A333" s="86" t="s">
        <v>37</v>
      </c>
      <c r="B333" s="79"/>
      <c r="C333" s="101"/>
      <c r="D333" s="101"/>
      <c r="E333" s="105"/>
      <c r="F333" s="105"/>
      <c r="G333" s="122">
        <f>G331</f>
        <v>4729743.2</v>
      </c>
      <c r="J333" s="12">
        <f>G333</f>
        <v>4729743.2</v>
      </c>
    </row>
    <row r="334" spans="1:10" ht="10.35" customHeight="1">
      <c r="A334" s="85"/>
      <c r="B334" s="76"/>
      <c r="C334" s="101"/>
      <c r="D334" s="101"/>
      <c r="E334" s="105"/>
      <c r="F334" s="105"/>
      <c r="G334" s="105"/>
    </row>
    <row r="335" spans="1:10" ht="10.35" customHeight="1">
      <c r="A335" s="85"/>
      <c r="B335" s="76"/>
      <c r="C335" s="101"/>
      <c r="D335" s="101"/>
      <c r="E335" s="105"/>
      <c r="F335" s="105"/>
      <c r="G335" s="105"/>
    </row>
    <row r="336" spans="1:10" ht="10.9" customHeight="1">
      <c r="A336" s="82" t="s">
        <v>1</v>
      </c>
      <c r="B336" s="77" t="s">
        <v>2</v>
      </c>
      <c r="C336" s="99" t="s">
        <v>3</v>
      </c>
      <c r="D336" s="99" t="s">
        <v>4</v>
      </c>
      <c r="E336" s="103" t="s">
        <v>5</v>
      </c>
      <c r="F336" s="103" t="s">
        <v>6</v>
      </c>
      <c r="G336" s="103" t="s">
        <v>7</v>
      </c>
    </row>
    <row r="337" spans="1:10" ht="10.35" customHeight="1">
      <c r="A337" s="83"/>
      <c r="B337" s="78" t="s">
        <v>244</v>
      </c>
      <c r="C337" s="100"/>
      <c r="D337" s="100"/>
      <c r="E337" s="104"/>
      <c r="F337" s="104"/>
      <c r="G337" s="104"/>
      <c r="I337" s="4"/>
    </row>
    <row r="338" spans="1:10" ht="10.9" customHeight="1">
      <c r="A338" s="84">
        <v>42270</v>
      </c>
      <c r="B338" s="75" t="s">
        <v>256</v>
      </c>
      <c r="C338" s="88">
        <v>23.55</v>
      </c>
      <c r="D338" s="89" t="s">
        <v>13</v>
      </c>
      <c r="E338" s="112">
        <v>1</v>
      </c>
      <c r="F338" s="95">
        <f>'CANTEIRO DE OBRA'!F61</f>
        <v>1600928.7</v>
      </c>
      <c r="G338" s="92">
        <f t="shared" ref="G338" si="31">TRUNC(E338*F338,2)</f>
        <v>1600928.7</v>
      </c>
      <c r="I338" s="4">
        <f>G338/$I$347</f>
        <v>1.4037880519999968E-2</v>
      </c>
    </row>
    <row r="339" spans="1:10" ht="10.9" customHeight="1">
      <c r="A339" s="85"/>
      <c r="B339" s="76"/>
      <c r="C339" s="101"/>
      <c r="D339" s="101"/>
      <c r="E339" s="105"/>
      <c r="F339" s="105"/>
      <c r="G339" s="105"/>
    </row>
    <row r="340" spans="1:10" ht="10.35" customHeight="1">
      <c r="A340" s="86" t="s">
        <v>37</v>
      </c>
      <c r="B340" s="79"/>
      <c r="C340" s="101"/>
      <c r="D340" s="101"/>
      <c r="E340" s="105"/>
      <c r="F340" s="105"/>
      <c r="G340" s="122">
        <f>G338</f>
        <v>1600928.7</v>
      </c>
      <c r="J340" s="12">
        <f>G340</f>
        <v>1600928.7</v>
      </c>
    </row>
    <row r="341" spans="1:10" ht="10.35" customHeight="1">
      <c r="A341" s="85"/>
      <c r="B341" s="76"/>
      <c r="C341" s="101"/>
      <c r="D341" s="101"/>
      <c r="E341" s="105"/>
      <c r="F341" s="105"/>
      <c r="G341" s="105"/>
    </row>
    <row r="342" spans="1:10" ht="20.45" customHeight="1">
      <c r="A342" s="85"/>
      <c r="B342" s="76"/>
      <c r="C342" s="101"/>
      <c r="D342" s="101"/>
      <c r="E342" s="105"/>
      <c r="F342" s="105"/>
      <c r="G342" s="105"/>
    </row>
    <row r="343" spans="1:10" ht="10.9" customHeight="1">
      <c r="A343" s="82" t="s">
        <v>1</v>
      </c>
      <c r="B343" s="77" t="s">
        <v>2</v>
      </c>
      <c r="C343" s="99" t="s">
        <v>3</v>
      </c>
      <c r="D343" s="99" t="s">
        <v>4</v>
      </c>
      <c r="E343" s="103" t="s">
        <v>5</v>
      </c>
      <c r="F343" s="103" t="s">
        <v>6</v>
      </c>
      <c r="G343" s="103" t="s">
        <v>7</v>
      </c>
    </row>
    <row r="344" spans="1:10" ht="10.35" customHeight="1">
      <c r="A344" s="83"/>
      <c r="B344" s="78" t="s">
        <v>245</v>
      </c>
      <c r="C344" s="100"/>
      <c r="D344" s="100"/>
      <c r="E344" s="104"/>
      <c r="F344" s="104"/>
      <c r="G344" s="104"/>
      <c r="I344" s="4"/>
    </row>
    <row r="345" spans="1:10" ht="10.9" customHeight="1">
      <c r="A345" s="84">
        <v>42301</v>
      </c>
      <c r="B345" s="75" t="s">
        <v>246</v>
      </c>
      <c r="C345" s="88">
        <v>23.55</v>
      </c>
      <c r="D345" s="89" t="s">
        <v>13</v>
      </c>
      <c r="E345" s="112">
        <v>1</v>
      </c>
      <c r="F345" s="95">
        <f>'MOB - DESMOB'!I56</f>
        <v>200633.88279999993</v>
      </c>
      <c r="G345" s="92">
        <f t="shared" ref="G345" si="32">TRUNC(E345*F345,2)</f>
        <v>200633.88</v>
      </c>
      <c r="I345" s="4">
        <f>G345/$I$347</f>
        <v>1.7592753729157402E-3</v>
      </c>
    </row>
    <row r="346" spans="1:10" ht="10.35" customHeight="1">
      <c r="A346" s="85"/>
      <c r="B346" s="76"/>
      <c r="C346" s="101"/>
      <c r="D346" s="101"/>
      <c r="E346" s="105"/>
      <c r="F346" s="105"/>
      <c r="G346" s="105"/>
      <c r="I346" s="3"/>
    </row>
    <row r="347" spans="1:10" ht="10.9" customHeight="1">
      <c r="A347" s="86" t="s">
        <v>37</v>
      </c>
      <c r="B347" s="79"/>
      <c r="C347" s="101"/>
      <c r="D347" s="101"/>
      <c r="E347" s="105"/>
      <c r="F347" s="105"/>
      <c r="G347" s="123">
        <f>G345</f>
        <v>200633.88</v>
      </c>
      <c r="I347" s="3">
        <f>I349-G333-G340-G347</f>
        <v>114043476.69999999</v>
      </c>
      <c r="J347" s="12">
        <f>G347</f>
        <v>200633.88</v>
      </c>
    </row>
    <row r="348" spans="1:10" ht="10.35" customHeight="1">
      <c r="A348" s="85"/>
      <c r="B348" s="76"/>
      <c r="C348" s="101"/>
      <c r="D348" s="101"/>
      <c r="E348" s="105"/>
      <c r="F348" s="105"/>
      <c r="G348" s="105"/>
      <c r="I348" s="2"/>
    </row>
    <row r="349" spans="1:10" ht="10.35" customHeight="1">
      <c r="A349" s="86" t="s">
        <v>247</v>
      </c>
      <c r="B349" s="79"/>
      <c r="C349" s="101"/>
      <c r="D349" s="101"/>
      <c r="E349" s="105"/>
      <c r="F349" s="105"/>
      <c r="G349" s="124">
        <f>SUM(G347,G340,G333,G326,G258,G235,G198,G177,G163,G112,G82,G48)</f>
        <v>120574782.47999999</v>
      </c>
      <c r="I349" s="2">
        <f>G349</f>
        <v>120574782.47999999</v>
      </c>
      <c r="J349" s="12">
        <f>G349</f>
        <v>120574782.47999999</v>
      </c>
    </row>
    <row r="350" spans="1:10">
      <c r="A350" s="85"/>
      <c r="B350" s="76"/>
      <c r="C350" s="101"/>
      <c r="D350" s="101"/>
      <c r="E350" s="105"/>
      <c r="F350" s="105"/>
      <c r="G350" s="105"/>
    </row>
    <row r="351" spans="1:10" ht="409.5" customHeight="1">
      <c r="A351" s="85"/>
      <c r="B351" s="8"/>
      <c r="C351" s="101"/>
      <c r="D351" s="101"/>
      <c r="E351" s="105"/>
      <c r="F351" s="105"/>
      <c r="G351" s="105"/>
    </row>
    <row r="352" spans="1:10" ht="105.75" customHeight="1">
      <c r="A352" s="85"/>
      <c r="B352" s="76"/>
      <c r="C352" s="101"/>
      <c r="D352" s="101"/>
      <c r="E352" s="105"/>
      <c r="F352" s="105"/>
      <c r="G352" s="105"/>
    </row>
    <row r="353" spans="1:13" ht="10.35" customHeight="1">
      <c r="A353" s="140" t="s">
        <v>248</v>
      </c>
      <c r="B353" s="141"/>
      <c r="C353" s="141"/>
      <c r="D353" s="113"/>
      <c r="E353" s="103" t="s">
        <v>249</v>
      </c>
      <c r="F353" s="103" t="s">
        <v>250</v>
      </c>
      <c r="G353" s="103" t="s">
        <v>251</v>
      </c>
    </row>
    <row r="354" spans="1:13" ht="10.35" customHeight="1">
      <c r="A354" s="131"/>
      <c r="B354" s="132"/>
      <c r="C354" s="132"/>
      <c r="D354" s="133"/>
      <c r="E354" s="114"/>
      <c r="F354" s="114"/>
      <c r="G354" s="114"/>
    </row>
    <row r="355" spans="1:13" ht="10.35" customHeight="1">
      <c r="A355" s="131" t="s">
        <v>8</v>
      </c>
      <c r="B355" s="132"/>
      <c r="C355" s="132"/>
      <c r="D355" s="133"/>
      <c r="E355" s="115">
        <f>(F355/$G$349)*100</f>
        <v>19.254447681753764</v>
      </c>
      <c r="F355" s="116">
        <f>G48</f>
        <v>23216008.41</v>
      </c>
      <c r="G355" s="116">
        <f>TRUNC(F355/11.7,2)</f>
        <v>1984274.22</v>
      </c>
      <c r="J355" s="13"/>
      <c r="K355" s="142"/>
      <c r="L355" s="143"/>
      <c r="M355" s="144"/>
    </row>
    <row r="356" spans="1:13" ht="10.35" customHeight="1">
      <c r="A356" s="9"/>
      <c r="B356" s="10"/>
      <c r="D356" s="117"/>
      <c r="E356" s="115"/>
      <c r="F356" s="116"/>
      <c r="G356" s="116"/>
      <c r="J356" s="13"/>
      <c r="K356" s="142"/>
      <c r="L356" s="143"/>
      <c r="M356" s="144"/>
    </row>
    <row r="357" spans="1:13" ht="10.35" customHeight="1">
      <c r="A357" s="131" t="s">
        <v>253</v>
      </c>
      <c r="B357" s="132"/>
      <c r="C357" s="132"/>
      <c r="D357" s="133"/>
      <c r="E357" s="115">
        <f>(F357/$G$349)*100</f>
        <v>46.356532858992551</v>
      </c>
      <c r="F357" s="116">
        <f>G82</f>
        <v>55894288.659999989</v>
      </c>
      <c r="G357" s="116">
        <f>TRUNC(F357/11.7,2)</f>
        <v>4777289.62</v>
      </c>
      <c r="J357" s="13"/>
      <c r="K357" s="142"/>
      <c r="L357" s="143"/>
      <c r="M357" s="144"/>
    </row>
    <row r="358" spans="1:13" ht="10.35" customHeight="1">
      <c r="A358" s="9"/>
      <c r="B358" s="10"/>
      <c r="D358" s="117"/>
      <c r="E358" s="115"/>
      <c r="F358" s="116"/>
      <c r="G358" s="116"/>
      <c r="J358" s="13"/>
      <c r="K358" s="142"/>
      <c r="L358" s="143"/>
      <c r="M358" s="144"/>
    </row>
    <row r="359" spans="1:13" ht="10.35" customHeight="1">
      <c r="A359" s="131" t="s">
        <v>254</v>
      </c>
      <c r="B359" s="132"/>
      <c r="C359" s="132"/>
      <c r="D359" s="133"/>
      <c r="E359" s="115">
        <f>(F359/$G$349)*100</f>
        <v>12.035145684303457</v>
      </c>
      <c r="F359" s="116">
        <f>G112</f>
        <v>14511350.729999999</v>
      </c>
      <c r="G359" s="116">
        <f>TRUNC(F359/11.7,2)</f>
        <v>1240286.3799999999</v>
      </c>
      <c r="J359" s="13"/>
      <c r="K359" s="142"/>
      <c r="L359" s="143"/>
      <c r="M359" s="144"/>
    </row>
    <row r="360" spans="1:13" ht="10.35" customHeight="1">
      <c r="A360" s="9"/>
      <c r="B360" s="10"/>
      <c r="D360" s="117"/>
      <c r="E360" s="115"/>
      <c r="F360" s="116"/>
      <c r="G360" s="116"/>
      <c r="J360" s="13"/>
      <c r="K360" s="142"/>
      <c r="L360" s="143"/>
      <c r="M360" s="144"/>
    </row>
    <row r="361" spans="1:13" ht="10.35" customHeight="1">
      <c r="A361" s="131" t="s">
        <v>73</v>
      </c>
      <c r="B361" s="132"/>
      <c r="C361" s="132"/>
      <c r="D361" s="133"/>
      <c r="E361" s="115">
        <f>(F361/$G$349)*100</f>
        <v>7.2021691612343837</v>
      </c>
      <c r="F361" s="116">
        <f>G163</f>
        <v>8683999.7999999989</v>
      </c>
      <c r="G361" s="116">
        <f>TRUNC(F361/11.7,2)</f>
        <v>742222.2</v>
      </c>
      <c r="J361" s="13"/>
      <c r="K361" s="137"/>
      <c r="L361" s="138"/>
      <c r="M361" s="139"/>
    </row>
    <row r="362" spans="1:13" ht="10.35" customHeight="1">
      <c r="A362" s="9"/>
      <c r="B362" s="10"/>
      <c r="D362" s="117"/>
      <c r="E362" s="115"/>
      <c r="F362" s="116"/>
      <c r="G362" s="116"/>
      <c r="J362" s="13"/>
      <c r="K362" s="137"/>
      <c r="L362" s="138"/>
      <c r="M362" s="139"/>
    </row>
    <row r="363" spans="1:13" ht="10.35" customHeight="1">
      <c r="A363" s="131" t="s">
        <v>141</v>
      </c>
      <c r="B363" s="132"/>
      <c r="C363" s="132"/>
      <c r="D363" s="133"/>
      <c r="E363" s="115">
        <f>(F363/$G$349)*100</f>
        <v>3.6547456850946007</v>
      </c>
      <c r="F363" s="116">
        <f>G177</f>
        <v>4406701.66</v>
      </c>
      <c r="G363" s="116">
        <f>TRUNC(F363/11.7,2)</f>
        <v>376641.16</v>
      </c>
      <c r="J363" s="13"/>
      <c r="K363" s="137"/>
      <c r="L363" s="138"/>
      <c r="M363" s="139"/>
    </row>
    <row r="364" spans="1:13" ht="10.35" customHeight="1">
      <c r="A364" s="9"/>
      <c r="B364" s="10"/>
      <c r="D364" s="117"/>
      <c r="E364" s="115"/>
      <c r="F364" s="116"/>
      <c r="G364" s="116"/>
      <c r="J364" s="13"/>
      <c r="K364" s="137"/>
      <c r="L364" s="138"/>
      <c r="M364" s="139"/>
    </row>
    <row r="365" spans="1:13" ht="10.35" customHeight="1">
      <c r="A365" s="131" t="s">
        <v>151</v>
      </c>
      <c r="B365" s="132"/>
      <c r="C365" s="132"/>
      <c r="D365" s="133"/>
      <c r="E365" s="115">
        <f>(F365/$G$349)*100</f>
        <v>0.49596456879297535</v>
      </c>
      <c r="F365" s="116">
        <f>G198</f>
        <v>598008.19999999995</v>
      </c>
      <c r="G365" s="116">
        <f>TRUNC(F365/11.7,2)</f>
        <v>51111.81</v>
      </c>
      <c r="J365" s="13"/>
      <c r="K365" s="134"/>
      <c r="L365" s="135"/>
      <c r="M365" s="136"/>
    </row>
    <row r="366" spans="1:13" ht="10.35" customHeight="1">
      <c r="A366" s="131"/>
      <c r="B366" s="132"/>
      <c r="C366" s="132"/>
      <c r="D366" s="133"/>
      <c r="E366" s="115"/>
      <c r="F366" s="116"/>
      <c r="G366" s="116"/>
      <c r="J366" s="13"/>
      <c r="K366" s="134"/>
      <c r="L366" s="135"/>
      <c r="M366" s="136"/>
    </row>
    <row r="367" spans="1:13" ht="10.35" customHeight="1">
      <c r="A367" s="131" t="s">
        <v>166</v>
      </c>
      <c r="B367" s="132"/>
      <c r="C367" s="132"/>
      <c r="D367" s="133"/>
      <c r="E367" s="115">
        <f>(F367/$G$349)*100</f>
        <v>2.0349600882813061</v>
      </c>
      <c r="F367" s="116">
        <f>G235</f>
        <v>2453648.7000000007</v>
      </c>
      <c r="G367" s="116">
        <f>TRUNC(F367/11.7,2)</f>
        <v>209713.56</v>
      </c>
      <c r="J367" s="13"/>
      <c r="K367" s="137"/>
      <c r="L367" s="138"/>
      <c r="M367" s="139"/>
    </row>
    <row r="368" spans="1:13" ht="10.35" customHeight="1">
      <c r="A368" s="131"/>
      <c r="B368" s="132"/>
      <c r="C368" s="132"/>
      <c r="D368" s="133"/>
      <c r="E368" s="115"/>
      <c r="F368" s="116"/>
      <c r="G368" s="116"/>
      <c r="J368" s="13"/>
      <c r="K368" s="137"/>
      <c r="L368" s="138"/>
      <c r="M368" s="139"/>
    </row>
    <row r="369" spans="1:13" ht="10.35" customHeight="1">
      <c r="A369" s="131" t="s">
        <v>193</v>
      </c>
      <c r="B369" s="132"/>
      <c r="C369" s="132"/>
      <c r="D369" s="133"/>
      <c r="E369" s="115">
        <f>(F369/$G$349)*100</f>
        <v>0.40485239115481753</v>
      </c>
      <c r="F369" s="116">
        <f>G258</f>
        <v>488149.89</v>
      </c>
      <c r="G369" s="116">
        <f>TRUNC(F369/11.7,2)</f>
        <v>41722.21</v>
      </c>
      <c r="J369" s="13"/>
      <c r="K369" s="134"/>
      <c r="L369" s="135"/>
      <c r="M369" s="136"/>
    </row>
    <row r="370" spans="1:13" ht="10.35" customHeight="1">
      <c r="A370" s="131"/>
      <c r="B370" s="132"/>
      <c r="C370" s="132"/>
      <c r="D370" s="133"/>
      <c r="E370" s="115"/>
      <c r="F370" s="116"/>
      <c r="G370" s="116"/>
      <c r="J370" s="13"/>
      <c r="K370" s="134"/>
      <c r="L370" s="135"/>
      <c r="M370" s="136"/>
    </row>
    <row r="371" spans="1:13" ht="10.35" customHeight="1">
      <c r="A371" s="131" t="s">
        <v>205</v>
      </c>
      <c r="B371" s="132"/>
      <c r="C371" s="132"/>
      <c r="D371" s="133"/>
      <c r="E371" s="115">
        <f>(F371/$G$349)*100</f>
        <v>3.1443727884218862</v>
      </c>
      <c r="F371" s="116">
        <f>G326</f>
        <v>3791320.6499999994</v>
      </c>
      <c r="G371" s="116">
        <f>TRUNC(F371/11.7,2)</f>
        <v>324044.5</v>
      </c>
      <c r="J371" s="13"/>
      <c r="K371" s="137"/>
      <c r="L371" s="138"/>
      <c r="M371" s="139"/>
    </row>
    <row r="372" spans="1:13" ht="10.35" customHeight="1">
      <c r="A372" s="131"/>
      <c r="B372" s="132"/>
      <c r="C372" s="132"/>
      <c r="D372" s="133"/>
      <c r="E372" s="115"/>
      <c r="F372" s="116"/>
      <c r="G372" s="116"/>
      <c r="J372" s="13"/>
      <c r="K372" s="137"/>
      <c r="L372" s="138"/>
      <c r="M372" s="139"/>
    </row>
    <row r="373" spans="1:13" ht="10.35" customHeight="1">
      <c r="A373" s="131" t="s">
        <v>243</v>
      </c>
      <c r="B373" s="132"/>
      <c r="C373" s="132"/>
      <c r="D373" s="133"/>
      <c r="E373" s="115">
        <f>(F373/$G$349)*100</f>
        <v>3.9226636803467039</v>
      </c>
      <c r="F373" s="116">
        <f>G333</f>
        <v>4729743.2</v>
      </c>
      <c r="G373" s="116">
        <f>TRUNC(F373/11.7,2)</f>
        <v>404251.55</v>
      </c>
      <c r="J373" s="13"/>
      <c r="K373" s="137"/>
      <c r="L373" s="138"/>
      <c r="M373" s="139"/>
    </row>
    <row r="374" spans="1:13" ht="10.35" customHeight="1">
      <c r="A374" s="131"/>
      <c r="B374" s="132"/>
      <c r="C374" s="132"/>
      <c r="D374" s="133"/>
      <c r="E374" s="115"/>
      <c r="F374" s="116"/>
      <c r="G374" s="116"/>
      <c r="J374" s="13"/>
      <c r="K374" s="137"/>
      <c r="L374" s="138"/>
      <c r="M374" s="139"/>
    </row>
    <row r="375" spans="1:13" ht="11.45" customHeight="1">
      <c r="A375" s="131" t="s">
        <v>244</v>
      </c>
      <c r="B375" s="132"/>
      <c r="C375" s="132"/>
      <c r="D375" s="133"/>
      <c r="E375" s="115">
        <f>(F375/$G$349)*100</f>
        <v>1.3277475331672686</v>
      </c>
      <c r="F375" s="116">
        <f>G340</f>
        <v>1600928.7</v>
      </c>
      <c r="G375" s="116">
        <f>TRUNC(F375/11.7,2)</f>
        <v>136831.51</v>
      </c>
      <c r="J375" s="13"/>
      <c r="K375" s="137"/>
      <c r="L375" s="138"/>
      <c r="M375" s="139"/>
    </row>
    <row r="376" spans="1:13" ht="12.75" customHeight="1">
      <c r="A376" s="131"/>
      <c r="B376" s="132"/>
      <c r="C376" s="132"/>
      <c r="D376" s="133"/>
      <c r="E376" s="115"/>
      <c r="F376" s="116"/>
      <c r="G376" s="116"/>
      <c r="J376" s="13"/>
      <c r="K376" s="137"/>
      <c r="L376" s="138"/>
      <c r="M376" s="139"/>
    </row>
    <row r="377" spans="1:13" ht="12.75" customHeight="1">
      <c r="A377" s="131" t="s">
        <v>245</v>
      </c>
      <c r="B377" s="132"/>
      <c r="C377" s="132"/>
      <c r="D377" s="133"/>
      <c r="E377" s="115">
        <f>(F377/$G$349)*100</f>
        <v>0.16639787845628468</v>
      </c>
      <c r="F377" s="116">
        <f>G347</f>
        <v>200633.88</v>
      </c>
      <c r="G377" s="116">
        <f>TRUNC(F377/11.7,2)</f>
        <v>17148.189999999999</v>
      </c>
      <c r="J377" s="13"/>
      <c r="K377" s="134"/>
      <c r="L377" s="135"/>
      <c r="M377" s="136"/>
    </row>
    <row r="378" spans="1:13" ht="12.75" customHeight="1">
      <c r="A378" s="9"/>
      <c r="B378" s="10"/>
      <c r="D378" s="117"/>
      <c r="E378" s="115"/>
      <c r="F378" s="116"/>
      <c r="G378" s="116"/>
      <c r="J378" s="13"/>
      <c r="K378" s="134"/>
      <c r="L378" s="135"/>
      <c r="M378" s="136"/>
    </row>
    <row r="379" spans="1:13" ht="12.75" customHeight="1">
      <c r="A379" s="131" t="s">
        <v>252</v>
      </c>
      <c r="B379" s="132"/>
      <c r="C379" s="132"/>
      <c r="D379" s="133"/>
      <c r="E379" s="118">
        <f>SUM(E355:E378)</f>
        <v>99.999999999999986</v>
      </c>
      <c r="F379" s="119">
        <f>SUM(F355:F378)</f>
        <v>120574782.48</v>
      </c>
      <c r="G379" s="119">
        <f>SUM(G355:G378)</f>
        <v>10305536.910000002</v>
      </c>
      <c r="K379" s="128"/>
      <c r="L379" s="129"/>
      <c r="M379" s="130"/>
    </row>
  </sheetData>
  <mergeCells count="34">
    <mergeCell ref="K363:M364"/>
    <mergeCell ref="K365:M366"/>
    <mergeCell ref="K367:M368"/>
    <mergeCell ref="A355:D355"/>
    <mergeCell ref="A357:D357"/>
    <mergeCell ref="A359:D359"/>
    <mergeCell ref="A361:D361"/>
    <mergeCell ref="A363:D363"/>
    <mergeCell ref="A353:C353"/>
    <mergeCell ref="K355:M356"/>
    <mergeCell ref="K357:M358"/>
    <mergeCell ref="K359:M360"/>
    <mergeCell ref="K361:M362"/>
    <mergeCell ref="K375:M376"/>
    <mergeCell ref="K377:M378"/>
    <mergeCell ref="A365:D365"/>
    <mergeCell ref="A366:D366"/>
    <mergeCell ref="A367:D367"/>
    <mergeCell ref="K379:M379"/>
    <mergeCell ref="A354:D354"/>
    <mergeCell ref="A368:D368"/>
    <mergeCell ref="A369:D369"/>
    <mergeCell ref="A370:D370"/>
    <mergeCell ref="A379:D379"/>
    <mergeCell ref="A371:D371"/>
    <mergeCell ref="A372:D372"/>
    <mergeCell ref="A373:D373"/>
    <mergeCell ref="A374:D374"/>
    <mergeCell ref="A375:D375"/>
    <mergeCell ref="A376:D376"/>
    <mergeCell ref="A377:D377"/>
    <mergeCell ref="K369:M370"/>
    <mergeCell ref="K371:M372"/>
    <mergeCell ref="K373:M374"/>
  </mergeCells>
  <pageMargins left="0.52999997138977051" right="0.52999997138977051" top="0.52999997138977051" bottom="0.69999998807907104" header="0" footer="0"/>
  <pageSetup paperSize="9" scale="61" firstPageNumber="0" fitToHeight="0" pageOrder="overThenDown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12F6-48F5-4160-9CC2-3C23264BD5C9}">
  <sheetPr>
    <pageSetUpPr fitToPage="1"/>
  </sheetPr>
  <dimension ref="A1:U28"/>
  <sheetViews>
    <sheetView tabSelected="1" topLeftCell="F1" zoomScaleNormal="100" workbookViewId="0">
      <selection activeCell="U27" sqref="U27"/>
    </sheetView>
  </sheetViews>
  <sheetFormatPr defaultRowHeight="12.75"/>
  <cols>
    <col min="1" max="1" width="28.140625" bestFit="1" customWidth="1"/>
    <col min="2" max="2" width="16.42578125" bestFit="1" customWidth="1"/>
    <col min="3" max="3" width="11" bestFit="1" customWidth="1"/>
    <col min="4" max="4" width="12.28515625" bestFit="1" customWidth="1"/>
    <col min="5" max="11" width="13.28515625" bestFit="1" customWidth="1"/>
    <col min="12" max="21" width="14.140625" bestFit="1" customWidth="1"/>
  </cols>
  <sheetData>
    <row r="1" spans="1:21" ht="66" customHeight="1">
      <c r="A1" s="152" t="s">
        <v>261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4"/>
    </row>
    <row r="2" spans="1:21">
      <c r="A2" s="152" t="s">
        <v>262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4"/>
    </row>
    <row r="3" spans="1:21">
      <c r="A3" s="15" t="s">
        <v>0</v>
      </c>
      <c r="B3" s="15" t="s">
        <v>263</v>
      </c>
      <c r="C3" s="15" t="s">
        <v>264</v>
      </c>
      <c r="D3" s="15" t="s">
        <v>265</v>
      </c>
      <c r="E3" s="15" t="s">
        <v>266</v>
      </c>
      <c r="F3" s="15" t="s">
        <v>267</v>
      </c>
      <c r="G3" s="15" t="s">
        <v>268</v>
      </c>
      <c r="H3" s="15" t="s">
        <v>269</v>
      </c>
      <c r="I3" s="15" t="s">
        <v>270</v>
      </c>
      <c r="J3" s="15" t="s">
        <v>271</v>
      </c>
      <c r="K3" s="15" t="s">
        <v>272</v>
      </c>
      <c r="L3" s="15" t="s">
        <v>273</v>
      </c>
      <c r="M3" s="15" t="s">
        <v>274</v>
      </c>
      <c r="N3" s="15" t="s">
        <v>275</v>
      </c>
      <c r="O3" s="15" t="s">
        <v>276</v>
      </c>
      <c r="P3" s="15" t="s">
        <v>277</v>
      </c>
      <c r="Q3" s="15" t="s">
        <v>278</v>
      </c>
      <c r="R3" s="15" t="s">
        <v>279</v>
      </c>
      <c r="S3" s="15" t="s">
        <v>280</v>
      </c>
      <c r="T3" s="15" t="s">
        <v>281</v>
      </c>
      <c r="U3" s="15" t="s">
        <v>282</v>
      </c>
    </row>
    <row r="4" spans="1:21" ht="12.75" customHeight="1">
      <c r="A4" s="148" t="s">
        <v>8</v>
      </c>
      <c r="B4" s="23">
        <f>ORÇAMENTO!J48</f>
        <v>23216008.41</v>
      </c>
      <c r="C4" s="27" t="s">
        <v>290</v>
      </c>
      <c r="D4" s="28">
        <f>$B$4*D5</f>
        <v>2089440.7568999999</v>
      </c>
      <c r="E4" s="28">
        <f t="shared" ref="E4:O4" si="0">$B$4*E5</f>
        <v>2089440.7568999999</v>
      </c>
      <c r="F4" s="28">
        <f t="shared" si="0"/>
        <v>2089440.7568999999</v>
      </c>
      <c r="G4" s="28">
        <f t="shared" si="0"/>
        <v>2089440.7568999999</v>
      </c>
      <c r="H4" s="28">
        <f t="shared" si="0"/>
        <v>1857280.6728000001</v>
      </c>
      <c r="I4" s="28">
        <f t="shared" si="0"/>
        <v>1857280.6728000001</v>
      </c>
      <c r="J4" s="28">
        <f t="shared" si="0"/>
        <v>1857280.6728000001</v>
      </c>
      <c r="K4" s="28">
        <f t="shared" si="0"/>
        <v>1857280.6728000001</v>
      </c>
      <c r="L4" s="28">
        <f t="shared" si="0"/>
        <v>1857280.6728000001</v>
      </c>
      <c r="M4" s="28">
        <f t="shared" si="0"/>
        <v>1857280.6728000001</v>
      </c>
      <c r="N4" s="28">
        <f t="shared" si="0"/>
        <v>1857280.6728000001</v>
      </c>
      <c r="O4" s="28">
        <f t="shared" si="0"/>
        <v>1857280.6728000001</v>
      </c>
      <c r="P4" s="150" t="s">
        <v>290</v>
      </c>
      <c r="Q4" s="150" t="s">
        <v>290</v>
      </c>
      <c r="R4" s="150" t="s">
        <v>290</v>
      </c>
      <c r="S4" s="150" t="s">
        <v>290</v>
      </c>
      <c r="T4" s="150" t="s">
        <v>290</v>
      </c>
      <c r="U4" s="150" t="s">
        <v>290</v>
      </c>
    </row>
    <row r="5" spans="1:21">
      <c r="A5" s="149"/>
      <c r="B5" s="17">
        <f>SUM(C5:U5)</f>
        <v>0.99999999999999978</v>
      </c>
      <c r="C5" s="29"/>
      <c r="D5" s="30">
        <v>0.09</v>
      </c>
      <c r="E5" s="30">
        <v>0.09</v>
      </c>
      <c r="F5" s="30">
        <v>0.09</v>
      </c>
      <c r="G5" s="30">
        <v>0.09</v>
      </c>
      <c r="H5" s="30">
        <v>0.08</v>
      </c>
      <c r="I5" s="30">
        <v>0.08</v>
      </c>
      <c r="J5" s="30">
        <v>0.08</v>
      </c>
      <c r="K5" s="30">
        <v>0.08</v>
      </c>
      <c r="L5" s="30">
        <v>0.08</v>
      </c>
      <c r="M5" s="30">
        <v>0.08</v>
      </c>
      <c r="N5" s="30">
        <v>0.08</v>
      </c>
      <c r="O5" s="30">
        <v>0.08</v>
      </c>
      <c r="P5" s="151"/>
      <c r="Q5" s="151"/>
      <c r="R5" s="151"/>
      <c r="S5" s="151"/>
      <c r="T5" s="151"/>
      <c r="U5" s="151"/>
    </row>
    <row r="6" spans="1:21" ht="12.75" customHeight="1">
      <c r="A6" s="148" t="s">
        <v>288</v>
      </c>
      <c r="B6" s="23">
        <f>ORÇAMENTO!J82+ORÇAMENTO!J112</f>
        <v>70405639.389999986</v>
      </c>
      <c r="C6" s="27" t="s">
        <v>290</v>
      </c>
      <c r="D6" s="150" t="s">
        <v>290</v>
      </c>
      <c r="E6" s="28">
        <f>$B$6*E7</f>
        <v>6737819.6896229982</v>
      </c>
      <c r="F6" s="28">
        <f t="shared" ref="F6:T6" si="1">$B$6*F7</f>
        <v>6174574.574502999</v>
      </c>
      <c r="G6" s="28">
        <f t="shared" si="1"/>
        <v>6174574.574502999</v>
      </c>
      <c r="H6" s="28">
        <f t="shared" si="1"/>
        <v>6174574.574502999</v>
      </c>
      <c r="I6" s="28">
        <f t="shared" si="1"/>
        <v>6174574.574502999</v>
      </c>
      <c r="J6" s="28">
        <f t="shared" si="1"/>
        <v>6174574.574502999</v>
      </c>
      <c r="K6" s="28">
        <f t="shared" si="1"/>
        <v>6174574.574502999</v>
      </c>
      <c r="L6" s="28">
        <f t="shared" si="1"/>
        <v>6174574.574502999</v>
      </c>
      <c r="M6" s="28">
        <f t="shared" si="1"/>
        <v>6174574.574502999</v>
      </c>
      <c r="N6" s="28">
        <f t="shared" si="1"/>
        <v>2140331.4374559997</v>
      </c>
      <c r="O6" s="28">
        <f t="shared" si="1"/>
        <v>2140331.4374559997</v>
      </c>
      <c r="P6" s="28">
        <f t="shared" si="1"/>
        <v>1999520.1586759996</v>
      </c>
      <c r="Q6" s="28">
        <f t="shared" si="1"/>
        <v>1999520.1586759996</v>
      </c>
      <c r="R6" s="28">
        <f t="shared" si="1"/>
        <v>1999520.1586759996</v>
      </c>
      <c r="S6" s="28">
        <f t="shared" si="1"/>
        <v>1999520.1586759996</v>
      </c>
      <c r="T6" s="28">
        <f t="shared" si="1"/>
        <v>1992479.5947369996</v>
      </c>
      <c r="U6" s="150" t="s">
        <v>290</v>
      </c>
    </row>
    <row r="7" spans="1:21">
      <c r="A7" s="149"/>
      <c r="B7" s="17">
        <f>SUM(C7:U7)</f>
        <v>0.99999999999999989</v>
      </c>
      <c r="C7" s="29"/>
      <c r="D7" s="151"/>
      <c r="E7" s="30">
        <v>9.5699999999999993E-2</v>
      </c>
      <c r="F7" s="30">
        <v>8.77E-2</v>
      </c>
      <c r="G7" s="30">
        <v>8.77E-2</v>
      </c>
      <c r="H7" s="30">
        <v>8.77E-2</v>
      </c>
      <c r="I7" s="30">
        <v>8.77E-2</v>
      </c>
      <c r="J7" s="30">
        <v>8.77E-2</v>
      </c>
      <c r="K7" s="30">
        <v>8.77E-2</v>
      </c>
      <c r="L7" s="30">
        <v>8.77E-2</v>
      </c>
      <c r="M7" s="30">
        <v>8.77E-2</v>
      </c>
      <c r="N7" s="30">
        <v>3.04E-2</v>
      </c>
      <c r="O7" s="30">
        <v>3.04E-2</v>
      </c>
      <c r="P7" s="30">
        <v>2.8400000000000002E-2</v>
      </c>
      <c r="Q7" s="30">
        <v>2.8400000000000002E-2</v>
      </c>
      <c r="R7" s="30">
        <v>2.8400000000000002E-2</v>
      </c>
      <c r="S7" s="30">
        <v>2.8400000000000002E-2</v>
      </c>
      <c r="T7" s="30">
        <v>2.8299999999999999E-2</v>
      </c>
      <c r="U7" s="151"/>
    </row>
    <row r="8" spans="1:21" ht="12.75" customHeight="1">
      <c r="A8" s="148" t="s">
        <v>73</v>
      </c>
      <c r="B8" s="23">
        <f>ORÇAMENTO!J163</f>
        <v>8683999.7999999989</v>
      </c>
      <c r="C8" s="27" t="s">
        <v>290</v>
      </c>
      <c r="D8" s="28">
        <f>$B$8*D9</f>
        <v>868399.98</v>
      </c>
      <c r="E8" s="28">
        <f t="shared" ref="E8:M8" si="2">$B$8*E9</f>
        <v>868399.98</v>
      </c>
      <c r="F8" s="28">
        <f t="shared" si="2"/>
        <v>868399.98</v>
      </c>
      <c r="G8" s="28">
        <f t="shared" si="2"/>
        <v>868399.98</v>
      </c>
      <c r="H8" s="28">
        <f t="shared" si="2"/>
        <v>868399.98</v>
      </c>
      <c r="I8" s="28">
        <f t="shared" si="2"/>
        <v>868399.98</v>
      </c>
      <c r="J8" s="28">
        <f t="shared" si="2"/>
        <v>868399.98</v>
      </c>
      <c r="K8" s="28">
        <f t="shared" si="2"/>
        <v>868399.98</v>
      </c>
      <c r="L8" s="28">
        <f t="shared" si="2"/>
        <v>868399.98</v>
      </c>
      <c r="M8" s="28">
        <f t="shared" si="2"/>
        <v>868399.98</v>
      </c>
      <c r="N8" s="150" t="s">
        <v>290</v>
      </c>
      <c r="O8" s="150" t="s">
        <v>290</v>
      </c>
      <c r="P8" s="150" t="s">
        <v>290</v>
      </c>
      <c r="Q8" s="150" t="s">
        <v>290</v>
      </c>
      <c r="R8" s="150" t="s">
        <v>290</v>
      </c>
      <c r="S8" s="150" t="s">
        <v>290</v>
      </c>
      <c r="T8" s="150" t="s">
        <v>290</v>
      </c>
      <c r="U8" s="150" t="s">
        <v>290</v>
      </c>
    </row>
    <row r="9" spans="1:21">
      <c r="A9" s="149"/>
      <c r="B9" s="17">
        <f>SUM(C9:U9)</f>
        <v>0.99999999999999989</v>
      </c>
      <c r="C9" s="29"/>
      <c r="D9" s="30">
        <v>0.1</v>
      </c>
      <c r="E9" s="30">
        <v>0.1</v>
      </c>
      <c r="F9" s="30">
        <v>0.1</v>
      </c>
      <c r="G9" s="30">
        <v>0.1</v>
      </c>
      <c r="H9" s="30">
        <v>0.1</v>
      </c>
      <c r="I9" s="30">
        <v>0.1</v>
      </c>
      <c r="J9" s="30">
        <v>0.1</v>
      </c>
      <c r="K9" s="30">
        <v>0.1</v>
      </c>
      <c r="L9" s="30">
        <v>0.1</v>
      </c>
      <c r="M9" s="30">
        <v>0.1</v>
      </c>
      <c r="N9" s="151"/>
      <c r="O9" s="151"/>
      <c r="P9" s="151"/>
      <c r="Q9" s="151"/>
      <c r="R9" s="151"/>
      <c r="S9" s="151"/>
      <c r="T9" s="151"/>
      <c r="U9" s="151"/>
    </row>
    <row r="10" spans="1:21" ht="12.75" customHeight="1">
      <c r="A10" s="148" t="s">
        <v>141</v>
      </c>
      <c r="B10" s="23">
        <f>ORÇAMENTO!J177</f>
        <v>4406701.66</v>
      </c>
      <c r="C10" s="27" t="s">
        <v>290</v>
      </c>
      <c r="D10" s="150" t="s">
        <v>290</v>
      </c>
      <c r="E10" s="150" t="s">
        <v>290</v>
      </c>
      <c r="F10" s="150" t="s">
        <v>290</v>
      </c>
      <c r="G10" s="150" t="s">
        <v>290</v>
      </c>
      <c r="H10" s="150" t="s">
        <v>290</v>
      </c>
      <c r="I10" s="150" t="s">
        <v>290</v>
      </c>
      <c r="J10" s="150" t="s">
        <v>290</v>
      </c>
      <c r="K10" s="150" t="s">
        <v>290</v>
      </c>
      <c r="L10" s="150" t="s">
        <v>290</v>
      </c>
      <c r="M10" s="150" t="s">
        <v>290</v>
      </c>
      <c r="N10" s="150" t="s">
        <v>290</v>
      </c>
      <c r="O10" s="28">
        <f>$B$10*O11</f>
        <v>749139.28220000013</v>
      </c>
      <c r="P10" s="28">
        <f t="shared" ref="P10:T10" si="3">$B$10*P11</f>
        <v>749139.28220000013</v>
      </c>
      <c r="Q10" s="28">
        <f t="shared" si="3"/>
        <v>749139.28220000013</v>
      </c>
      <c r="R10" s="28">
        <f t="shared" si="3"/>
        <v>749139.28220000013</v>
      </c>
      <c r="S10" s="28">
        <f t="shared" si="3"/>
        <v>705072.26560000004</v>
      </c>
      <c r="T10" s="28">
        <f t="shared" si="3"/>
        <v>705072.26560000004</v>
      </c>
      <c r="U10" s="150" t="s">
        <v>290</v>
      </c>
    </row>
    <row r="11" spans="1:21">
      <c r="A11" s="149"/>
      <c r="B11" s="17">
        <f>SUM(C11:U11)</f>
        <v>1</v>
      </c>
      <c r="C11" s="29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30">
        <v>0.17</v>
      </c>
      <c r="P11" s="30">
        <v>0.17</v>
      </c>
      <c r="Q11" s="30">
        <v>0.17</v>
      </c>
      <c r="R11" s="30">
        <v>0.17</v>
      </c>
      <c r="S11" s="30">
        <v>0.16</v>
      </c>
      <c r="T11" s="30">
        <v>0.16</v>
      </c>
      <c r="U11" s="151"/>
    </row>
    <row r="12" spans="1:21" ht="12.75" customHeight="1">
      <c r="A12" s="148" t="s">
        <v>151</v>
      </c>
      <c r="B12" s="23">
        <f>ORÇAMENTO!J198</f>
        <v>598008.19999999995</v>
      </c>
      <c r="C12" s="27" t="s">
        <v>290</v>
      </c>
      <c r="D12" s="150" t="s">
        <v>290</v>
      </c>
      <c r="E12" s="150" t="s">
        <v>290</v>
      </c>
      <c r="F12" s="150" t="s">
        <v>290</v>
      </c>
      <c r="G12" s="150" t="s">
        <v>290</v>
      </c>
      <c r="H12" s="150" t="s">
        <v>290</v>
      </c>
      <c r="I12" s="150" t="s">
        <v>290</v>
      </c>
      <c r="J12" s="150" t="s">
        <v>290</v>
      </c>
      <c r="K12" s="150" t="s">
        <v>290</v>
      </c>
      <c r="L12" s="150" t="s">
        <v>290</v>
      </c>
      <c r="M12" s="150" t="s">
        <v>290</v>
      </c>
      <c r="N12" s="150" t="s">
        <v>290</v>
      </c>
      <c r="O12" s="150" t="s">
        <v>290</v>
      </c>
      <c r="P12" s="28">
        <f>$B$12*P13</f>
        <v>119601.64</v>
      </c>
      <c r="Q12" s="28">
        <f t="shared" ref="Q12:T12" si="4">$B$12*Q13</f>
        <v>119601.64</v>
      </c>
      <c r="R12" s="28">
        <f t="shared" si="4"/>
        <v>119601.64</v>
      </c>
      <c r="S12" s="28">
        <f t="shared" si="4"/>
        <v>119601.64</v>
      </c>
      <c r="T12" s="28">
        <f t="shared" si="4"/>
        <v>119601.64</v>
      </c>
      <c r="U12" s="150" t="s">
        <v>290</v>
      </c>
    </row>
    <row r="13" spans="1:21">
      <c r="A13" s="149"/>
      <c r="B13" s="17">
        <f>SUM(C13:U13)</f>
        <v>1</v>
      </c>
      <c r="C13" s="29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30">
        <v>0.2</v>
      </c>
      <c r="Q13" s="30">
        <v>0.2</v>
      </c>
      <c r="R13" s="30">
        <v>0.2</v>
      </c>
      <c r="S13" s="30">
        <v>0.2</v>
      </c>
      <c r="T13" s="30">
        <v>0.2</v>
      </c>
      <c r="U13" s="151"/>
    </row>
    <row r="14" spans="1:21">
      <c r="A14" s="148" t="s">
        <v>289</v>
      </c>
      <c r="B14" s="23">
        <f>ORÇAMENTO!J235</f>
        <v>2453648.7000000007</v>
      </c>
      <c r="C14" s="27" t="s">
        <v>290</v>
      </c>
      <c r="D14" s="27" t="s">
        <v>290</v>
      </c>
      <c r="E14" s="27" t="s">
        <v>290</v>
      </c>
      <c r="F14" s="27" t="s">
        <v>290</v>
      </c>
      <c r="G14" s="27" t="s">
        <v>290</v>
      </c>
      <c r="H14" s="27" t="s">
        <v>290</v>
      </c>
      <c r="I14" s="27" t="s">
        <v>290</v>
      </c>
      <c r="J14" s="27" t="s">
        <v>290</v>
      </c>
      <c r="K14" s="28">
        <f>$B$14*K15</f>
        <v>417120.27900000016</v>
      </c>
      <c r="L14" s="28">
        <f t="shared" ref="L14:P14" si="5">$B$14*L15</f>
        <v>417120.27900000016</v>
      </c>
      <c r="M14" s="28">
        <f t="shared" si="5"/>
        <v>417120.27900000016</v>
      </c>
      <c r="N14" s="28">
        <f t="shared" si="5"/>
        <v>417120.27900000016</v>
      </c>
      <c r="O14" s="28">
        <f t="shared" si="5"/>
        <v>392583.79200000013</v>
      </c>
      <c r="P14" s="28">
        <f t="shared" si="5"/>
        <v>392583.79200000013</v>
      </c>
      <c r="Q14" s="27" t="s">
        <v>290</v>
      </c>
      <c r="R14" s="27" t="s">
        <v>290</v>
      </c>
      <c r="S14" s="27" t="s">
        <v>290</v>
      </c>
      <c r="T14" s="27" t="s">
        <v>290</v>
      </c>
      <c r="U14" s="27" t="s">
        <v>290</v>
      </c>
    </row>
    <row r="15" spans="1:21" ht="16.5" customHeight="1">
      <c r="A15" s="149" t="s">
        <v>283</v>
      </c>
      <c r="B15" s="17">
        <f>SUM(C15:U15)</f>
        <v>1</v>
      </c>
      <c r="C15" s="18"/>
      <c r="D15" s="18"/>
      <c r="E15" s="18"/>
      <c r="F15" s="18"/>
      <c r="G15" s="18"/>
      <c r="H15" s="18"/>
      <c r="I15" s="18"/>
      <c r="J15" s="18"/>
      <c r="K15" s="30">
        <v>0.17</v>
      </c>
      <c r="L15" s="30">
        <v>0.17</v>
      </c>
      <c r="M15" s="30">
        <v>0.17</v>
      </c>
      <c r="N15" s="30">
        <v>0.17</v>
      </c>
      <c r="O15" s="30">
        <v>0.16</v>
      </c>
      <c r="P15" s="30">
        <v>0.16</v>
      </c>
      <c r="Q15" s="18"/>
      <c r="R15" s="18"/>
      <c r="S15" s="18"/>
      <c r="T15" s="18"/>
      <c r="U15" s="18"/>
    </row>
    <row r="16" spans="1:21" ht="12.75" customHeight="1">
      <c r="A16" s="148" t="s">
        <v>193</v>
      </c>
      <c r="B16" s="23">
        <f>ORÇAMENTO!J326+ORÇAMENTO!J258</f>
        <v>4279470.5399999991</v>
      </c>
      <c r="C16" s="27" t="s">
        <v>290</v>
      </c>
      <c r="D16" s="150" t="s">
        <v>290</v>
      </c>
      <c r="E16" s="150" t="s">
        <v>290</v>
      </c>
      <c r="F16" s="28">
        <f>$B$16*F17</f>
        <v>228095.77978199994</v>
      </c>
      <c r="G16" s="28">
        <f t="shared" ref="G16:P16" si="6">$B$16*G17</f>
        <v>386436.18976199994</v>
      </c>
      <c r="H16" s="28">
        <f t="shared" si="6"/>
        <v>444636.98910599994</v>
      </c>
      <c r="I16" s="28">
        <f t="shared" si="6"/>
        <v>668025.35129399982</v>
      </c>
      <c r="J16" s="28">
        <f t="shared" si="6"/>
        <v>415536.58943399996</v>
      </c>
      <c r="K16" s="28">
        <f t="shared" si="6"/>
        <v>690278.59810199984</v>
      </c>
      <c r="L16" s="28">
        <f t="shared" si="6"/>
        <v>905535.96626399981</v>
      </c>
      <c r="M16" s="28">
        <f t="shared" si="6"/>
        <v>315824.92585199996</v>
      </c>
      <c r="N16" s="28">
        <f t="shared" si="6"/>
        <v>77886.363827999987</v>
      </c>
      <c r="O16" s="28">
        <f t="shared" si="6"/>
        <v>73178.946233999988</v>
      </c>
      <c r="P16" s="28">
        <f t="shared" si="6"/>
        <v>74034.840341999981</v>
      </c>
      <c r="Q16" s="150" t="s">
        <v>290</v>
      </c>
      <c r="R16" s="150" t="s">
        <v>290</v>
      </c>
      <c r="S16" s="150" t="s">
        <v>290</v>
      </c>
      <c r="T16" s="150" t="s">
        <v>290</v>
      </c>
      <c r="U16" s="150" t="s">
        <v>290</v>
      </c>
    </row>
    <row r="17" spans="1:21">
      <c r="A17" s="149"/>
      <c r="B17" s="17">
        <f>SUM(C17:U17)</f>
        <v>0.99999999999999989</v>
      </c>
      <c r="C17" s="29"/>
      <c r="D17" s="151"/>
      <c r="E17" s="151"/>
      <c r="F17" s="30">
        <v>5.33E-2</v>
      </c>
      <c r="G17" s="30">
        <v>9.0300000000000005E-2</v>
      </c>
      <c r="H17" s="30">
        <v>0.10390000000000001</v>
      </c>
      <c r="I17" s="30">
        <v>0.15609999999999999</v>
      </c>
      <c r="J17" s="30">
        <v>9.7100000000000006E-2</v>
      </c>
      <c r="K17" s="30">
        <v>0.1613</v>
      </c>
      <c r="L17" s="30">
        <v>0.21160000000000001</v>
      </c>
      <c r="M17" s="30">
        <v>7.3800000000000004E-2</v>
      </c>
      <c r="N17" s="30">
        <v>1.8200000000000001E-2</v>
      </c>
      <c r="O17" s="30">
        <v>1.7100000000000001E-2</v>
      </c>
      <c r="P17" s="30">
        <v>1.7299999999999999E-2</v>
      </c>
      <c r="Q17" s="151"/>
      <c r="R17" s="151"/>
      <c r="S17" s="151"/>
      <c r="T17" s="151"/>
      <c r="U17" s="151"/>
    </row>
    <row r="18" spans="1:21" ht="12.75" customHeight="1">
      <c r="A18" s="148" t="s">
        <v>243</v>
      </c>
      <c r="B18" s="23">
        <f>ORÇAMENTO!J333</f>
        <v>4729743.2</v>
      </c>
      <c r="C18" s="28">
        <f>$B$18*C19</f>
        <v>4729.7431999999999</v>
      </c>
      <c r="D18" s="28">
        <f t="shared" ref="D18:U18" si="7">$B$18*D19</f>
        <v>123446.29752000001</v>
      </c>
      <c r="E18" s="28">
        <f t="shared" si="7"/>
        <v>394933.55720000004</v>
      </c>
      <c r="F18" s="28">
        <f t="shared" si="7"/>
        <v>381217.30192000006</v>
      </c>
      <c r="G18" s="28">
        <f t="shared" si="7"/>
        <v>387365.96808000002</v>
      </c>
      <c r="H18" s="28">
        <f t="shared" si="7"/>
        <v>380271.35328000004</v>
      </c>
      <c r="I18" s="28">
        <f t="shared" si="7"/>
        <v>389257.86536</v>
      </c>
      <c r="J18" s="28">
        <f t="shared" si="7"/>
        <v>379798.37896</v>
      </c>
      <c r="K18" s="28">
        <f t="shared" si="7"/>
        <v>405811.96656000003</v>
      </c>
      <c r="L18" s="28">
        <f t="shared" si="7"/>
        <v>414325.50432000001</v>
      </c>
      <c r="M18" s="28">
        <f t="shared" si="7"/>
        <v>415744.42728000006</v>
      </c>
      <c r="N18" s="28">
        <f t="shared" si="7"/>
        <v>185405.93343999999</v>
      </c>
      <c r="O18" s="28">
        <f t="shared" si="7"/>
        <v>218987.11016000001</v>
      </c>
      <c r="P18" s="28">
        <f t="shared" si="7"/>
        <v>144257.16760000002</v>
      </c>
      <c r="Q18" s="28">
        <f t="shared" si="7"/>
        <v>126284.14344000001</v>
      </c>
      <c r="R18" s="28">
        <f t="shared" si="7"/>
        <v>126284.14344000001</v>
      </c>
      <c r="S18" s="28">
        <f t="shared" si="7"/>
        <v>123446.29752000001</v>
      </c>
      <c r="T18" s="28">
        <f t="shared" si="7"/>
        <v>123446.29752000001</v>
      </c>
      <c r="U18" s="28">
        <f t="shared" si="7"/>
        <v>4729.7431999999999</v>
      </c>
    </row>
    <row r="19" spans="1:21">
      <c r="A19" s="149"/>
      <c r="B19" s="17">
        <f>SUM(C19:U19)</f>
        <v>0.99999999999999989</v>
      </c>
      <c r="C19" s="30">
        <v>1E-3</v>
      </c>
      <c r="D19" s="30">
        <v>2.6100000000000002E-2</v>
      </c>
      <c r="E19" s="30">
        <v>8.3500000000000005E-2</v>
      </c>
      <c r="F19" s="30">
        <v>8.0600000000000005E-2</v>
      </c>
      <c r="G19" s="30">
        <v>8.1900000000000001E-2</v>
      </c>
      <c r="H19" s="30">
        <v>8.0399999999999999E-2</v>
      </c>
      <c r="I19" s="30">
        <v>8.2299999999999998E-2</v>
      </c>
      <c r="J19" s="30">
        <v>8.0299999999999996E-2</v>
      </c>
      <c r="K19" s="30">
        <v>8.5800000000000001E-2</v>
      </c>
      <c r="L19" s="30">
        <v>8.7599999999999997E-2</v>
      </c>
      <c r="M19" s="30">
        <v>8.7900000000000006E-2</v>
      </c>
      <c r="N19" s="30">
        <v>3.9199999999999999E-2</v>
      </c>
      <c r="O19" s="30">
        <v>4.6300000000000001E-2</v>
      </c>
      <c r="P19" s="30">
        <v>3.0499999999999999E-2</v>
      </c>
      <c r="Q19" s="30">
        <v>2.6700000000000002E-2</v>
      </c>
      <c r="R19" s="30">
        <v>2.6700000000000002E-2</v>
      </c>
      <c r="S19" s="30">
        <v>2.6100000000000002E-2</v>
      </c>
      <c r="T19" s="30">
        <v>2.6100000000000002E-2</v>
      </c>
      <c r="U19" s="30">
        <v>1E-3</v>
      </c>
    </row>
    <row r="20" spans="1:21" ht="12.75" customHeight="1">
      <c r="A20" s="148" t="s">
        <v>244</v>
      </c>
      <c r="B20" s="23">
        <f>ORÇAMENTO!J340</f>
        <v>1600928.7</v>
      </c>
      <c r="C20" s="27" t="s">
        <v>290</v>
      </c>
      <c r="D20" s="28">
        <f>$B$20*D21</f>
        <v>96055.721999999994</v>
      </c>
      <c r="E20" s="28">
        <f t="shared" ref="E20:T20" si="8">$B$20*E21</f>
        <v>96055.721999999994</v>
      </c>
      <c r="F20" s="28">
        <f t="shared" si="8"/>
        <v>96055.721999999994</v>
      </c>
      <c r="G20" s="28">
        <f t="shared" si="8"/>
        <v>96055.721999999994</v>
      </c>
      <c r="H20" s="28">
        <f t="shared" si="8"/>
        <v>96055.721999999994</v>
      </c>
      <c r="I20" s="28">
        <f t="shared" si="8"/>
        <v>96055.721999999994</v>
      </c>
      <c r="J20" s="28">
        <f t="shared" si="8"/>
        <v>96055.721999999994</v>
      </c>
      <c r="K20" s="28">
        <f t="shared" si="8"/>
        <v>96055.721999999994</v>
      </c>
      <c r="L20" s="28">
        <f t="shared" si="8"/>
        <v>96055.721999999994</v>
      </c>
      <c r="M20" s="28">
        <f t="shared" si="8"/>
        <v>96055.721999999994</v>
      </c>
      <c r="N20" s="28">
        <f t="shared" si="8"/>
        <v>96055.721999999994</v>
      </c>
      <c r="O20" s="28">
        <f t="shared" si="8"/>
        <v>96055.721999999994</v>
      </c>
      <c r="P20" s="28">
        <f t="shared" si="8"/>
        <v>96055.721999999994</v>
      </c>
      <c r="Q20" s="28">
        <f t="shared" si="8"/>
        <v>96055.721999999994</v>
      </c>
      <c r="R20" s="28">
        <f t="shared" si="8"/>
        <v>96055.721999999994</v>
      </c>
      <c r="S20" s="28">
        <f t="shared" si="8"/>
        <v>80046.434999999998</v>
      </c>
      <c r="T20" s="28">
        <f t="shared" si="8"/>
        <v>80046.434999999998</v>
      </c>
      <c r="U20" s="150" t="s">
        <v>290</v>
      </c>
    </row>
    <row r="21" spans="1:21">
      <c r="A21" s="149"/>
      <c r="B21" s="17">
        <f>SUM(C21:U21)</f>
        <v>1.0000000000000004</v>
      </c>
      <c r="C21" s="31"/>
      <c r="D21" s="30">
        <v>0.06</v>
      </c>
      <c r="E21" s="30">
        <v>0.06</v>
      </c>
      <c r="F21" s="30">
        <v>0.06</v>
      </c>
      <c r="G21" s="30">
        <v>0.06</v>
      </c>
      <c r="H21" s="30">
        <v>0.06</v>
      </c>
      <c r="I21" s="30">
        <v>0.06</v>
      </c>
      <c r="J21" s="30">
        <v>0.06</v>
      </c>
      <c r="K21" s="30">
        <v>0.06</v>
      </c>
      <c r="L21" s="30">
        <v>0.06</v>
      </c>
      <c r="M21" s="30">
        <v>0.06</v>
      </c>
      <c r="N21" s="30">
        <v>0.06</v>
      </c>
      <c r="O21" s="30">
        <v>0.06</v>
      </c>
      <c r="P21" s="30">
        <v>0.06</v>
      </c>
      <c r="Q21" s="30">
        <v>0.06</v>
      </c>
      <c r="R21" s="30">
        <v>0.06</v>
      </c>
      <c r="S21" s="30">
        <v>0.05</v>
      </c>
      <c r="T21" s="30">
        <v>0.05</v>
      </c>
      <c r="U21" s="151"/>
    </row>
    <row r="22" spans="1:21">
      <c r="A22" s="148" t="s">
        <v>245</v>
      </c>
      <c r="B22" s="23">
        <f>ORÇAMENTO!J347</f>
        <v>200633.88</v>
      </c>
      <c r="C22" s="28">
        <f>$B$22*C23</f>
        <v>100316.94</v>
      </c>
      <c r="D22" s="27" t="s">
        <v>290</v>
      </c>
      <c r="E22" s="27" t="s">
        <v>290</v>
      </c>
      <c r="F22" s="27" t="s">
        <v>290</v>
      </c>
      <c r="G22" s="27" t="s">
        <v>290</v>
      </c>
      <c r="H22" s="27" t="s">
        <v>290</v>
      </c>
      <c r="I22" s="27" t="s">
        <v>290</v>
      </c>
      <c r="J22" s="27" t="s">
        <v>290</v>
      </c>
      <c r="K22" s="27" t="s">
        <v>290</v>
      </c>
      <c r="L22" s="27" t="s">
        <v>290</v>
      </c>
      <c r="M22" s="27" t="s">
        <v>290</v>
      </c>
      <c r="N22" s="27" t="s">
        <v>290</v>
      </c>
      <c r="O22" s="27" t="s">
        <v>290</v>
      </c>
      <c r="P22" s="27" t="s">
        <v>290</v>
      </c>
      <c r="Q22" s="27" t="s">
        <v>290</v>
      </c>
      <c r="R22" s="27" t="s">
        <v>290</v>
      </c>
      <c r="S22" s="27" t="s">
        <v>290</v>
      </c>
      <c r="T22" s="27" t="s">
        <v>290</v>
      </c>
      <c r="U22" s="28">
        <f>$B$22*U23</f>
        <v>100316.94</v>
      </c>
    </row>
    <row r="23" spans="1:21">
      <c r="A23" s="149"/>
      <c r="B23" s="17">
        <f>SUM(C23:U23)</f>
        <v>1</v>
      </c>
      <c r="C23" s="30">
        <v>0.5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30">
        <v>0.5</v>
      </c>
    </row>
    <row r="24" spans="1:21">
      <c r="A24" s="145" t="s">
        <v>287</v>
      </c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7"/>
    </row>
    <row r="25" spans="1:21">
      <c r="A25" s="16" t="s">
        <v>284</v>
      </c>
      <c r="B25" s="17"/>
      <c r="C25" s="25">
        <f>C26/$B$26</f>
        <v>8.7121602908489038E-4</v>
      </c>
      <c r="D25" s="25">
        <f t="shared" ref="D25:U25" si="9">D26/$B$26</f>
        <v>2.6351635815283624E-2</v>
      </c>
      <c r="E25" s="25">
        <f t="shared" si="9"/>
        <v>8.4484081133736899E-2</v>
      </c>
      <c r="F25" s="25">
        <f t="shared" si="9"/>
        <v>8.1590726624257551E-2</v>
      </c>
      <c r="G25" s="25">
        <f t="shared" si="9"/>
        <v>8.2954934568545427E-2</v>
      </c>
      <c r="H25" s="25">
        <f t="shared" si="9"/>
        <v>8.1453344469587283E-2</v>
      </c>
      <c r="I25" s="25">
        <f t="shared" si="9"/>
        <v>8.3380570623252909E-2</v>
      </c>
      <c r="J25" s="25">
        <f t="shared" si="9"/>
        <v>8.1208074493695728E-2</v>
      </c>
      <c r="K25" s="25">
        <f t="shared" si="9"/>
        <v>8.7161855711481273E-2</v>
      </c>
      <c r="L25" s="25">
        <f t="shared" si="9"/>
        <v>8.9017723923054584E-2</v>
      </c>
      <c r="M25" s="25">
        <f t="shared" si="9"/>
        <v>8.4138659616638939E-2</v>
      </c>
      <c r="N25" s="25">
        <f t="shared" si="9"/>
        <v>3.9594352237922438E-2</v>
      </c>
      <c r="O25" s="25">
        <f t="shared" si="9"/>
        <v>4.5843391538084408E-2</v>
      </c>
      <c r="P25" s="25">
        <f t="shared" si="9"/>
        <v>2.9651246548265803E-2</v>
      </c>
      <c r="Q25" s="25">
        <f t="shared" si="9"/>
        <v>2.5632233231095772E-2</v>
      </c>
      <c r="R25" s="25">
        <f t="shared" si="9"/>
        <v>2.5632233231095772E-2</v>
      </c>
      <c r="S25" s="25">
        <f t="shared" si="9"/>
        <v>2.5110447927187505E-2</v>
      </c>
      <c r="T25" s="25">
        <f t="shared" si="9"/>
        <v>2.5052056248644206E-2</v>
      </c>
      <c r="U25" s="25">
        <f t="shared" si="9"/>
        <v>8.7121602908489038E-4</v>
      </c>
    </row>
    <row r="26" spans="1:21">
      <c r="A26" s="16" t="s">
        <v>263</v>
      </c>
      <c r="B26" s="22">
        <f>SUM(B4,B6,B8,B10,B12,B14,B16,B18,B20,B22)</f>
        <v>120574782.47999999</v>
      </c>
      <c r="C26" s="26">
        <f>SUM(C4,C6,C8,C10,C12,C14,C16,C18,C20,C22)</f>
        <v>105046.6832</v>
      </c>
      <c r="D26" s="26">
        <f t="shared" ref="D26:U26" si="10">SUM(D4,D6,D8,D10,D12,D14,D16,D18,D20,D22)</f>
        <v>3177342.75642</v>
      </c>
      <c r="E26" s="26">
        <f t="shared" si="10"/>
        <v>10186649.705722997</v>
      </c>
      <c r="F26" s="26">
        <f t="shared" si="10"/>
        <v>9837784.1151049975</v>
      </c>
      <c r="G26" s="26">
        <f t="shared" si="10"/>
        <v>10002273.191244997</v>
      </c>
      <c r="H26" s="26">
        <f t="shared" si="10"/>
        <v>9821219.2916889973</v>
      </c>
      <c r="I26" s="26">
        <f t="shared" si="10"/>
        <v>10053594.165956996</v>
      </c>
      <c r="J26" s="26">
        <f t="shared" si="10"/>
        <v>9791645.9176969975</v>
      </c>
      <c r="K26" s="26">
        <f t="shared" si="10"/>
        <v>10509521.792964999</v>
      </c>
      <c r="L26" s="26">
        <f t="shared" si="10"/>
        <v>10733292.698886998</v>
      </c>
      <c r="M26" s="26">
        <f t="shared" si="10"/>
        <v>10145000.581434999</v>
      </c>
      <c r="N26" s="26">
        <f t="shared" si="10"/>
        <v>4774080.4085239992</v>
      </c>
      <c r="O26" s="26">
        <f t="shared" si="10"/>
        <v>5527556.9628499998</v>
      </c>
      <c r="P26" s="26">
        <f t="shared" si="10"/>
        <v>3575192.6028179997</v>
      </c>
      <c r="Q26" s="26">
        <f t="shared" si="10"/>
        <v>3090600.9463160001</v>
      </c>
      <c r="R26" s="26">
        <f t="shared" si="10"/>
        <v>3090600.9463160001</v>
      </c>
      <c r="S26" s="26">
        <f t="shared" si="10"/>
        <v>3027686.7967960001</v>
      </c>
      <c r="T26" s="26">
        <f t="shared" si="10"/>
        <v>3020646.2328569996</v>
      </c>
      <c r="U26" s="26">
        <f t="shared" si="10"/>
        <v>105046.6832</v>
      </c>
    </row>
    <row r="27" spans="1:21">
      <c r="A27" s="16" t="s">
        <v>285</v>
      </c>
      <c r="B27" s="24"/>
      <c r="C27" s="25">
        <f>C25</f>
        <v>8.7121602908489038E-4</v>
      </c>
      <c r="D27" s="25">
        <f t="shared" ref="D27:U27" si="11">C27+D25</f>
        <v>2.7222851844368515E-2</v>
      </c>
      <c r="E27" s="25">
        <f t="shared" si="11"/>
        <v>0.11170693297810541</v>
      </c>
      <c r="F27" s="25">
        <f t="shared" si="11"/>
        <v>0.19329765960236295</v>
      </c>
      <c r="G27" s="25">
        <f t="shared" si="11"/>
        <v>0.27625259417090836</v>
      </c>
      <c r="H27" s="25">
        <f t="shared" si="11"/>
        <v>0.35770593864049566</v>
      </c>
      <c r="I27" s="25">
        <f t="shared" si="11"/>
        <v>0.44108650926374859</v>
      </c>
      <c r="J27" s="25">
        <f t="shared" si="11"/>
        <v>0.52229458375744431</v>
      </c>
      <c r="K27" s="25">
        <f t="shared" si="11"/>
        <v>0.60945643946892558</v>
      </c>
      <c r="L27" s="25">
        <f t="shared" si="11"/>
        <v>0.69847416339198021</v>
      </c>
      <c r="M27" s="25">
        <f t="shared" si="11"/>
        <v>0.78261282300861912</v>
      </c>
      <c r="N27" s="25">
        <f t="shared" si="11"/>
        <v>0.82220717524654152</v>
      </c>
      <c r="O27" s="25">
        <f t="shared" si="11"/>
        <v>0.86805056678462589</v>
      </c>
      <c r="P27" s="25">
        <f t="shared" si="11"/>
        <v>0.89770181333289167</v>
      </c>
      <c r="Q27" s="25">
        <f t="shared" si="11"/>
        <v>0.92333404656398743</v>
      </c>
      <c r="R27" s="25">
        <f t="shared" si="11"/>
        <v>0.94896627979508319</v>
      </c>
      <c r="S27" s="25">
        <f t="shared" si="11"/>
        <v>0.97407672772227072</v>
      </c>
      <c r="T27" s="25">
        <f t="shared" si="11"/>
        <v>0.99912878397091487</v>
      </c>
      <c r="U27" s="25">
        <f t="shared" si="11"/>
        <v>0.99999999999999978</v>
      </c>
    </row>
    <row r="28" spans="1:21">
      <c r="A28" s="16" t="s">
        <v>286</v>
      </c>
      <c r="B28" s="15"/>
      <c r="C28" s="26">
        <f>C26</f>
        <v>105046.6832</v>
      </c>
      <c r="D28" s="26">
        <f t="shared" ref="D28:U28" si="12">C28+D26</f>
        <v>3282389.4396199998</v>
      </c>
      <c r="E28" s="26">
        <f t="shared" si="12"/>
        <v>13469039.145342996</v>
      </c>
      <c r="F28" s="26">
        <f t="shared" si="12"/>
        <v>23306823.260447994</v>
      </c>
      <c r="G28" s="26">
        <f t="shared" si="12"/>
        <v>33309096.451692991</v>
      </c>
      <c r="H28" s="26">
        <f t="shared" si="12"/>
        <v>43130315.743381992</v>
      </c>
      <c r="I28" s="26">
        <f t="shared" si="12"/>
        <v>53183909.909338988</v>
      </c>
      <c r="J28" s="26">
        <f t="shared" si="12"/>
        <v>62975555.827035986</v>
      </c>
      <c r="K28" s="26">
        <f t="shared" si="12"/>
        <v>73485077.620000988</v>
      </c>
      <c r="L28" s="26">
        <f t="shared" si="12"/>
        <v>84218370.318887979</v>
      </c>
      <c r="M28" s="26">
        <f t="shared" si="12"/>
        <v>94363370.900322974</v>
      </c>
      <c r="N28" s="26">
        <f t="shared" si="12"/>
        <v>99137451.30884698</v>
      </c>
      <c r="O28" s="26">
        <f t="shared" si="12"/>
        <v>104665008.27169698</v>
      </c>
      <c r="P28" s="26">
        <f t="shared" si="12"/>
        <v>108240200.87451498</v>
      </c>
      <c r="Q28" s="26">
        <f t="shared" si="12"/>
        <v>111330801.82083099</v>
      </c>
      <c r="R28" s="26">
        <f t="shared" si="12"/>
        <v>114421402.76714699</v>
      </c>
      <c r="S28" s="26">
        <f t="shared" si="12"/>
        <v>117449089.56394298</v>
      </c>
      <c r="T28" s="26">
        <f t="shared" si="12"/>
        <v>120469735.79679999</v>
      </c>
      <c r="U28" s="26">
        <f t="shared" si="12"/>
        <v>120574782.47999999</v>
      </c>
    </row>
  </sheetData>
  <mergeCells count="62">
    <mergeCell ref="U4:U5"/>
    <mergeCell ref="A6:A7"/>
    <mergeCell ref="D6:D7"/>
    <mergeCell ref="U6:U7"/>
    <mergeCell ref="A1:U1"/>
    <mergeCell ref="A2:U2"/>
    <mergeCell ref="A4:A5"/>
    <mergeCell ref="P4:P5"/>
    <mergeCell ref="Q4:Q5"/>
    <mergeCell ref="R4:R5"/>
    <mergeCell ref="S4:S5"/>
    <mergeCell ref="T4:T5"/>
    <mergeCell ref="E10:E11"/>
    <mergeCell ref="A8:A9"/>
    <mergeCell ref="N8:N9"/>
    <mergeCell ref="O8:O9"/>
    <mergeCell ref="P8:P9"/>
    <mergeCell ref="L10:L11"/>
    <mergeCell ref="M10:M11"/>
    <mergeCell ref="N10:N11"/>
    <mergeCell ref="Q8:Q9"/>
    <mergeCell ref="R8:R9"/>
    <mergeCell ref="S8:S9"/>
    <mergeCell ref="T8:T9"/>
    <mergeCell ref="U8:U9"/>
    <mergeCell ref="U10:U11"/>
    <mergeCell ref="A12:A13"/>
    <mergeCell ref="D12:D13"/>
    <mergeCell ref="E12:E13"/>
    <mergeCell ref="F12:F13"/>
    <mergeCell ref="F10:F11"/>
    <mergeCell ref="G10:G11"/>
    <mergeCell ref="H10:H11"/>
    <mergeCell ref="I10:I11"/>
    <mergeCell ref="J10:J11"/>
    <mergeCell ref="K10:K11"/>
    <mergeCell ref="A10:A11"/>
    <mergeCell ref="D10:D11"/>
    <mergeCell ref="M12:M13"/>
    <mergeCell ref="N12:N13"/>
    <mergeCell ref="O12:O13"/>
    <mergeCell ref="U12:U13"/>
    <mergeCell ref="A16:A17"/>
    <mergeCell ref="D16:D17"/>
    <mergeCell ref="E16:E17"/>
    <mergeCell ref="Q16:Q17"/>
    <mergeCell ref="G12:G13"/>
    <mergeCell ref="H12:H13"/>
    <mergeCell ref="I12:I13"/>
    <mergeCell ref="J12:J13"/>
    <mergeCell ref="K12:K13"/>
    <mergeCell ref="L12:L13"/>
    <mergeCell ref="A24:U24"/>
    <mergeCell ref="A20:A21"/>
    <mergeCell ref="U20:U21"/>
    <mergeCell ref="A14:A15"/>
    <mergeCell ref="A22:A23"/>
    <mergeCell ref="R16:R17"/>
    <mergeCell ref="S16:S17"/>
    <mergeCell ref="T16:T17"/>
    <mergeCell ref="U16:U17"/>
    <mergeCell ref="A18:A19"/>
  </mergeCells>
  <pageMargins left="0.511811024" right="0.511811024" top="0.78740157499999996" bottom="0.78740157499999996" header="0.31496062000000002" footer="0.31496062000000002"/>
  <pageSetup paperSize="9" scale="46" orientation="landscape" r:id="rId1"/>
  <ignoredErrors>
    <ignoredError sqref="B6 B8 B10 B12 B14 B18 B20 B2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89D28-BF92-4C9B-8BBF-70ADD6081986}">
  <sheetPr>
    <pageSetUpPr fitToPage="1"/>
  </sheetPr>
  <dimension ref="A1:M56"/>
  <sheetViews>
    <sheetView zoomScale="70" zoomScaleNormal="70" workbookViewId="0">
      <selection activeCell="I55" sqref="I55"/>
    </sheetView>
  </sheetViews>
  <sheetFormatPr defaultRowHeight="12.75"/>
  <cols>
    <col min="2" max="2" width="106.5703125" customWidth="1"/>
    <col min="3" max="3" width="30.5703125" customWidth="1"/>
    <col min="4" max="4" width="5" bestFit="1" customWidth="1"/>
    <col min="5" max="5" width="13.7109375" customWidth="1"/>
    <col min="7" max="7" width="15.42578125" customWidth="1"/>
    <col min="8" max="8" width="13.42578125" customWidth="1"/>
    <col min="9" max="9" width="12.42578125" bestFit="1" customWidth="1"/>
    <col min="11" max="11" width="9.7109375" bestFit="1" customWidth="1"/>
  </cols>
  <sheetData>
    <row r="1" spans="1:13" ht="109.5" customHeight="1">
      <c r="A1" s="155" t="s">
        <v>362</v>
      </c>
      <c r="B1" s="155"/>
      <c r="C1" s="155"/>
      <c r="D1" s="155"/>
      <c r="E1" s="155"/>
      <c r="F1" s="155"/>
      <c r="G1" s="155"/>
      <c r="H1" s="155"/>
      <c r="I1" s="155"/>
    </row>
    <row r="2" spans="1:13">
      <c r="A2" s="176" t="s">
        <v>291</v>
      </c>
      <c r="B2" s="177"/>
      <c r="C2" s="180" t="s">
        <v>292</v>
      </c>
      <c r="D2" s="45" t="s">
        <v>293</v>
      </c>
      <c r="E2" s="45" t="s">
        <v>294</v>
      </c>
      <c r="F2" s="45" t="s">
        <v>295</v>
      </c>
      <c r="G2" s="45" t="s">
        <v>296</v>
      </c>
      <c r="H2" s="45" t="s">
        <v>297</v>
      </c>
      <c r="I2" s="45" t="s">
        <v>298</v>
      </c>
    </row>
    <row r="3" spans="1:13">
      <c r="A3" s="178"/>
      <c r="B3" s="179"/>
      <c r="C3" s="181"/>
      <c r="D3" s="46" t="s">
        <v>299</v>
      </c>
      <c r="E3" s="46" t="s">
        <v>300</v>
      </c>
      <c r="F3" s="46" t="s">
        <v>301</v>
      </c>
      <c r="G3" s="46" t="s">
        <v>302</v>
      </c>
      <c r="H3" s="46" t="s">
        <v>303</v>
      </c>
      <c r="I3" s="49" t="s">
        <v>304</v>
      </c>
    </row>
    <row r="4" spans="1:13">
      <c r="A4" s="182" t="s">
        <v>305</v>
      </c>
      <c r="B4" s="183"/>
      <c r="C4" s="183"/>
      <c r="D4" s="183"/>
      <c r="E4" s="183"/>
      <c r="F4" s="183"/>
      <c r="G4" s="183"/>
      <c r="H4" s="183"/>
      <c r="I4" s="184"/>
    </row>
    <row r="5" spans="1:13">
      <c r="A5" s="34">
        <v>30050</v>
      </c>
      <c r="B5" s="35" t="s">
        <v>306</v>
      </c>
      <c r="C5" s="34">
        <v>30050</v>
      </c>
      <c r="D5" s="36">
        <v>1</v>
      </c>
      <c r="E5" s="93"/>
      <c r="F5" s="37">
        <v>261</v>
      </c>
      <c r="G5" s="36">
        <f>TRUNC((D5*E5)/60,2)</f>
        <v>0</v>
      </c>
      <c r="H5" s="14"/>
      <c r="I5" s="38" t="s">
        <v>504</v>
      </c>
    </row>
    <row r="6" spans="1:13">
      <c r="A6" s="34">
        <v>30037</v>
      </c>
      <c r="B6" s="35" t="s">
        <v>307</v>
      </c>
      <c r="C6" s="34">
        <v>30037</v>
      </c>
      <c r="D6" s="36">
        <v>1</v>
      </c>
      <c r="E6" s="93">
        <v>266</v>
      </c>
      <c r="F6" s="37">
        <v>261</v>
      </c>
      <c r="G6" s="36">
        <f t="shared" ref="G6:G47" si="0">TRUNC((D6*E6)/60,2)</f>
        <v>4.43</v>
      </c>
      <c r="H6" s="37">
        <v>21</v>
      </c>
      <c r="I6" s="38">
        <f>TRUNC(F6*G6*H6,2)</f>
        <v>24280.83</v>
      </c>
      <c r="M6" s="47"/>
    </row>
    <row r="7" spans="1:13">
      <c r="A7" s="34">
        <v>30036</v>
      </c>
      <c r="B7" s="35" t="s">
        <v>308</v>
      </c>
      <c r="C7" s="34">
        <v>30036</v>
      </c>
      <c r="D7" s="36">
        <v>1</v>
      </c>
      <c r="E7" s="93"/>
      <c r="F7" s="37">
        <v>261</v>
      </c>
      <c r="G7" s="36">
        <f t="shared" si="0"/>
        <v>0</v>
      </c>
      <c r="H7" s="14"/>
      <c r="I7" s="38" t="s">
        <v>504</v>
      </c>
      <c r="M7" s="47"/>
    </row>
    <row r="8" spans="1:13">
      <c r="A8" s="34">
        <v>30035</v>
      </c>
      <c r="B8" s="35" t="s">
        <v>309</v>
      </c>
      <c r="C8" s="34">
        <v>30035</v>
      </c>
      <c r="D8" s="36">
        <v>1</v>
      </c>
      <c r="E8" s="93">
        <v>228</v>
      </c>
      <c r="F8" s="37">
        <v>261</v>
      </c>
      <c r="G8" s="36">
        <f t="shared" si="0"/>
        <v>3.8</v>
      </c>
      <c r="H8" s="37">
        <v>2</v>
      </c>
      <c r="I8" s="38">
        <f t="shared" ref="I8:I47" si="1">TRUNC(F8*G8*H8,2)</f>
        <v>1983.6</v>
      </c>
      <c r="M8" s="47"/>
    </row>
    <row r="9" spans="1:13">
      <c r="A9" s="34">
        <v>30125</v>
      </c>
      <c r="B9" s="35" t="s">
        <v>310</v>
      </c>
      <c r="C9" s="34">
        <v>30125</v>
      </c>
      <c r="D9" s="36">
        <v>1</v>
      </c>
      <c r="E9" s="93">
        <v>312</v>
      </c>
      <c r="F9" s="37">
        <v>261</v>
      </c>
      <c r="G9" s="36">
        <f t="shared" si="0"/>
        <v>5.2</v>
      </c>
      <c r="H9" s="37">
        <v>1</v>
      </c>
      <c r="I9" s="38">
        <f t="shared" si="1"/>
        <v>1357.2</v>
      </c>
      <c r="M9" s="47"/>
    </row>
    <row r="10" spans="1:13">
      <c r="A10" s="34">
        <v>30110</v>
      </c>
      <c r="B10" s="35" t="s">
        <v>311</v>
      </c>
      <c r="C10" s="34">
        <v>30110</v>
      </c>
      <c r="D10" s="36">
        <v>1</v>
      </c>
      <c r="E10" s="93">
        <v>440</v>
      </c>
      <c r="F10" s="37">
        <v>261</v>
      </c>
      <c r="G10" s="36">
        <f t="shared" si="0"/>
        <v>7.33</v>
      </c>
      <c r="H10" s="37">
        <v>1</v>
      </c>
      <c r="I10" s="38">
        <f t="shared" si="1"/>
        <v>1913.13</v>
      </c>
      <c r="M10" s="47"/>
    </row>
    <row r="11" spans="1:13">
      <c r="A11" s="34">
        <v>30120</v>
      </c>
      <c r="B11" s="35" t="s">
        <v>312</v>
      </c>
      <c r="C11" s="34">
        <v>30120</v>
      </c>
      <c r="D11" s="36">
        <v>1</v>
      </c>
      <c r="E11" s="93">
        <v>377</v>
      </c>
      <c r="F11" s="37">
        <v>261</v>
      </c>
      <c r="G11" s="36">
        <f t="shared" si="0"/>
        <v>6.28</v>
      </c>
      <c r="H11" s="37">
        <v>1</v>
      </c>
      <c r="I11" s="38">
        <f t="shared" si="1"/>
        <v>1639.08</v>
      </c>
      <c r="M11" s="47"/>
    </row>
    <row r="12" spans="1:13">
      <c r="A12" s="34">
        <v>31062</v>
      </c>
      <c r="B12" s="35" t="s">
        <v>313</v>
      </c>
      <c r="C12" s="34">
        <v>31062</v>
      </c>
      <c r="D12" s="36">
        <v>1</v>
      </c>
      <c r="E12" s="93">
        <v>270.13</v>
      </c>
      <c r="F12" s="37">
        <v>261</v>
      </c>
      <c r="G12" s="36">
        <f t="shared" si="0"/>
        <v>4.5</v>
      </c>
      <c r="H12" s="37">
        <v>1</v>
      </c>
      <c r="I12" s="38">
        <f t="shared" si="1"/>
        <v>1174.5</v>
      </c>
      <c r="M12" s="47"/>
    </row>
    <row r="13" spans="1:13">
      <c r="A13" s="34">
        <v>30053</v>
      </c>
      <c r="B13" s="35" t="s">
        <v>314</v>
      </c>
      <c r="C13" s="34">
        <v>30053</v>
      </c>
      <c r="D13" s="36">
        <v>1</v>
      </c>
      <c r="E13" s="93"/>
      <c r="F13" s="37">
        <v>261</v>
      </c>
      <c r="G13" s="36">
        <f t="shared" si="0"/>
        <v>0</v>
      </c>
      <c r="H13" s="39"/>
      <c r="I13" s="38" t="s">
        <v>504</v>
      </c>
      <c r="M13" s="47"/>
    </row>
    <row r="14" spans="1:13">
      <c r="A14" s="34">
        <v>30049</v>
      </c>
      <c r="B14" s="35" t="s">
        <v>315</v>
      </c>
      <c r="C14" s="34">
        <v>30049</v>
      </c>
      <c r="D14" s="36">
        <v>1</v>
      </c>
      <c r="E14" s="93">
        <v>308.07</v>
      </c>
      <c r="F14" s="37">
        <v>261</v>
      </c>
      <c r="G14" s="36">
        <f t="shared" si="0"/>
        <v>5.13</v>
      </c>
      <c r="H14" s="37">
        <v>1</v>
      </c>
      <c r="I14" s="38">
        <f t="shared" si="1"/>
        <v>1338.93</v>
      </c>
      <c r="M14" s="47"/>
    </row>
    <row r="15" spans="1:13">
      <c r="A15" s="34">
        <v>30040</v>
      </c>
      <c r="B15" s="35" t="s">
        <v>316</v>
      </c>
      <c r="C15" s="34">
        <v>30040</v>
      </c>
      <c r="D15" s="36">
        <v>1</v>
      </c>
      <c r="E15" s="93">
        <v>289.89</v>
      </c>
      <c r="F15" s="37">
        <v>261</v>
      </c>
      <c r="G15" s="36">
        <f t="shared" si="0"/>
        <v>4.83</v>
      </c>
      <c r="H15" s="37">
        <v>2</v>
      </c>
      <c r="I15" s="38">
        <f t="shared" si="1"/>
        <v>2521.2600000000002</v>
      </c>
      <c r="M15" s="47"/>
    </row>
    <row r="16" spans="1:13">
      <c r="A16" s="34">
        <v>30039</v>
      </c>
      <c r="B16" s="35" t="s">
        <v>317</v>
      </c>
      <c r="C16" s="34">
        <v>30039</v>
      </c>
      <c r="D16" s="36">
        <v>1</v>
      </c>
      <c r="E16" s="93"/>
      <c r="F16" s="37">
        <v>261</v>
      </c>
      <c r="G16" s="36">
        <f t="shared" si="0"/>
        <v>0</v>
      </c>
      <c r="H16" s="14"/>
      <c r="I16" s="38" t="s">
        <v>504</v>
      </c>
      <c r="M16" s="47"/>
    </row>
    <row r="17" spans="1:13">
      <c r="A17" s="34">
        <v>30021</v>
      </c>
      <c r="B17" s="35" t="s">
        <v>318</v>
      </c>
      <c r="C17" s="34">
        <v>30021</v>
      </c>
      <c r="D17" s="36">
        <v>1</v>
      </c>
      <c r="E17" s="93">
        <v>242.53</v>
      </c>
      <c r="F17" s="37">
        <v>261</v>
      </c>
      <c r="G17" s="36">
        <f t="shared" si="0"/>
        <v>4.04</v>
      </c>
      <c r="H17" s="37">
        <v>2</v>
      </c>
      <c r="I17" s="38">
        <f t="shared" si="1"/>
        <v>2108.88</v>
      </c>
      <c r="M17" s="47"/>
    </row>
    <row r="18" spans="1:13">
      <c r="A18" s="34">
        <v>30030</v>
      </c>
      <c r="B18" s="35" t="s">
        <v>319</v>
      </c>
      <c r="C18" s="34">
        <v>30030</v>
      </c>
      <c r="D18" s="36">
        <v>1</v>
      </c>
      <c r="E18" s="93"/>
      <c r="F18" s="37">
        <v>261</v>
      </c>
      <c r="G18" s="36">
        <f t="shared" si="0"/>
        <v>0</v>
      </c>
      <c r="H18" s="14"/>
      <c r="I18" s="38" t="s">
        <v>504</v>
      </c>
      <c r="M18" s="47"/>
    </row>
    <row r="19" spans="1:13">
      <c r="A19" s="40" t="s">
        <v>320</v>
      </c>
      <c r="B19" s="44" t="s">
        <v>361</v>
      </c>
      <c r="C19" s="40" t="s">
        <v>320</v>
      </c>
      <c r="D19" s="36">
        <v>1</v>
      </c>
      <c r="E19" s="94">
        <f>2637.17*0.9</f>
        <v>2373.453</v>
      </c>
      <c r="F19" s="37">
        <v>261</v>
      </c>
      <c r="G19" s="36">
        <f t="shared" si="0"/>
        <v>39.549999999999997</v>
      </c>
      <c r="H19" s="37">
        <v>1</v>
      </c>
      <c r="I19" s="38">
        <f t="shared" si="1"/>
        <v>10322.549999999999</v>
      </c>
      <c r="M19" s="47"/>
    </row>
    <row r="20" spans="1:13">
      <c r="A20" s="182" t="s">
        <v>321</v>
      </c>
      <c r="B20" s="183"/>
      <c r="C20" s="183"/>
      <c r="D20" s="183"/>
      <c r="E20" s="183"/>
      <c r="F20" s="183"/>
      <c r="G20" s="183"/>
      <c r="H20" s="183"/>
      <c r="I20" s="184"/>
      <c r="M20" s="47"/>
    </row>
    <row r="21" spans="1:13">
      <c r="A21" s="34">
        <v>30010</v>
      </c>
      <c r="B21" s="35" t="s">
        <v>322</v>
      </c>
      <c r="C21" s="34">
        <v>30105</v>
      </c>
      <c r="D21" s="36">
        <v>0.5</v>
      </c>
      <c r="E21" s="93">
        <f>361.3*0.99</f>
        <v>357.68700000000001</v>
      </c>
      <c r="F21" s="37">
        <v>261</v>
      </c>
      <c r="G21" s="36">
        <f t="shared" si="0"/>
        <v>2.98</v>
      </c>
      <c r="H21" s="39"/>
      <c r="I21" s="38" t="s">
        <v>504</v>
      </c>
      <c r="M21" s="47"/>
    </row>
    <row r="22" spans="1:13">
      <c r="A22" s="34">
        <v>30007</v>
      </c>
      <c r="B22" s="35" t="s">
        <v>323</v>
      </c>
      <c r="C22" s="34">
        <v>30105</v>
      </c>
      <c r="D22" s="36">
        <v>0.5</v>
      </c>
      <c r="E22" s="93">
        <f t="shared" ref="E22:E47" si="2">361.3*0.99</f>
        <v>357.68700000000001</v>
      </c>
      <c r="F22" s="37">
        <v>261</v>
      </c>
      <c r="G22" s="36">
        <f t="shared" si="0"/>
        <v>2.98</v>
      </c>
      <c r="H22" s="37">
        <v>1</v>
      </c>
      <c r="I22" s="38">
        <f t="shared" si="1"/>
        <v>777.78</v>
      </c>
      <c r="M22" s="47"/>
    </row>
    <row r="23" spans="1:13">
      <c r="A23" s="34">
        <v>30011</v>
      </c>
      <c r="B23" s="35" t="s">
        <v>324</v>
      </c>
      <c r="C23" s="34">
        <v>30105</v>
      </c>
      <c r="D23" s="36">
        <v>1</v>
      </c>
      <c r="E23" s="93">
        <f t="shared" si="2"/>
        <v>357.68700000000001</v>
      </c>
      <c r="F23" s="37">
        <v>261</v>
      </c>
      <c r="G23" s="36">
        <f t="shared" si="0"/>
        <v>5.96</v>
      </c>
      <c r="H23" s="39"/>
      <c r="I23" s="38" t="s">
        <v>504</v>
      </c>
      <c r="M23" s="47"/>
    </row>
    <row r="24" spans="1:13">
      <c r="A24" s="34">
        <v>30057</v>
      </c>
      <c r="B24" s="35" t="s">
        <v>325</v>
      </c>
      <c r="C24" s="34">
        <v>30105</v>
      </c>
      <c r="D24" s="36">
        <v>1</v>
      </c>
      <c r="E24" s="93">
        <f t="shared" si="2"/>
        <v>357.68700000000001</v>
      </c>
      <c r="F24" s="37">
        <v>261</v>
      </c>
      <c r="G24" s="36">
        <f t="shared" si="0"/>
        <v>5.96</v>
      </c>
      <c r="H24" s="37">
        <v>1</v>
      </c>
      <c r="I24" s="38">
        <f t="shared" si="1"/>
        <v>1555.56</v>
      </c>
      <c r="M24" s="47"/>
    </row>
    <row r="25" spans="1:13">
      <c r="A25" s="34">
        <v>30019</v>
      </c>
      <c r="B25" s="35" t="s">
        <v>326</v>
      </c>
      <c r="C25" s="34">
        <v>30105</v>
      </c>
      <c r="D25" s="36">
        <v>1</v>
      </c>
      <c r="E25" s="93">
        <f t="shared" si="2"/>
        <v>357.68700000000001</v>
      </c>
      <c r="F25" s="37">
        <v>261</v>
      </c>
      <c r="G25" s="36">
        <f t="shared" si="0"/>
        <v>5.96</v>
      </c>
      <c r="H25" s="37">
        <v>1</v>
      </c>
      <c r="I25" s="38">
        <f t="shared" si="1"/>
        <v>1555.56</v>
      </c>
      <c r="M25" s="47"/>
    </row>
    <row r="26" spans="1:13">
      <c r="A26" s="34">
        <v>30158</v>
      </c>
      <c r="B26" s="35" t="s">
        <v>327</v>
      </c>
      <c r="C26" s="34">
        <v>30105</v>
      </c>
      <c r="D26" s="36">
        <v>0.33</v>
      </c>
      <c r="E26" s="93">
        <f t="shared" si="2"/>
        <v>357.68700000000001</v>
      </c>
      <c r="F26" s="37">
        <v>261</v>
      </c>
      <c r="G26" s="36">
        <f t="shared" si="0"/>
        <v>1.96</v>
      </c>
      <c r="H26" s="14"/>
      <c r="I26" s="38" t="s">
        <v>504</v>
      </c>
      <c r="M26" s="47"/>
    </row>
    <row r="27" spans="1:13">
      <c r="A27" s="34">
        <v>30058</v>
      </c>
      <c r="B27" s="35" t="s">
        <v>328</v>
      </c>
      <c r="C27" s="34">
        <v>30105</v>
      </c>
      <c r="D27" s="36">
        <v>0.33</v>
      </c>
      <c r="E27" s="93">
        <f t="shared" si="2"/>
        <v>357.68700000000001</v>
      </c>
      <c r="F27" s="37">
        <v>261</v>
      </c>
      <c r="G27" s="36">
        <f t="shared" si="0"/>
        <v>1.96</v>
      </c>
      <c r="H27" s="37">
        <v>1</v>
      </c>
      <c r="I27" s="38">
        <f t="shared" si="1"/>
        <v>511.56</v>
      </c>
      <c r="M27" s="47"/>
    </row>
    <row r="28" spans="1:13">
      <c r="A28" s="34">
        <v>30046</v>
      </c>
      <c r="B28" s="35" t="s">
        <v>329</v>
      </c>
      <c r="C28" s="34">
        <v>30105</v>
      </c>
      <c r="D28" s="36">
        <v>1</v>
      </c>
      <c r="E28" s="93">
        <f t="shared" si="2"/>
        <v>357.68700000000001</v>
      </c>
      <c r="F28" s="37">
        <v>261</v>
      </c>
      <c r="G28" s="36">
        <f t="shared" si="0"/>
        <v>5.96</v>
      </c>
      <c r="H28" s="37">
        <v>3</v>
      </c>
      <c r="I28" s="38">
        <f t="shared" si="1"/>
        <v>4666.68</v>
      </c>
      <c r="M28" s="47"/>
    </row>
    <row r="29" spans="1:13">
      <c r="A29" s="34">
        <v>30170</v>
      </c>
      <c r="B29" s="35" t="s">
        <v>330</v>
      </c>
      <c r="C29" s="34">
        <v>30105</v>
      </c>
      <c r="D29" s="36">
        <v>1</v>
      </c>
      <c r="E29" s="93">
        <f t="shared" si="2"/>
        <v>357.68700000000001</v>
      </c>
      <c r="F29" s="37">
        <v>261</v>
      </c>
      <c r="G29" s="36">
        <f t="shared" si="0"/>
        <v>5.96</v>
      </c>
      <c r="H29" s="37">
        <v>1</v>
      </c>
      <c r="I29" s="38">
        <f t="shared" si="1"/>
        <v>1555.56</v>
      </c>
      <c r="M29" s="47"/>
    </row>
    <row r="30" spans="1:13">
      <c r="A30" s="34">
        <v>30029</v>
      </c>
      <c r="B30" s="35" t="s">
        <v>331</v>
      </c>
      <c r="C30" s="34">
        <v>30105</v>
      </c>
      <c r="D30" s="36">
        <v>0.5</v>
      </c>
      <c r="E30" s="93">
        <f t="shared" si="2"/>
        <v>357.68700000000001</v>
      </c>
      <c r="F30" s="37">
        <v>261</v>
      </c>
      <c r="G30" s="36">
        <f t="shared" si="0"/>
        <v>2.98</v>
      </c>
      <c r="H30" s="14"/>
      <c r="I30" s="38" t="s">
        <v>504</v>
      </c>
      <c r="M30" s="47"/>
    </row>
    <row r="31" spans="1:13">
      <c r="A31" s="34">
        <v>30101</v>
      </c>
      <c r="B31" s="35" t="s">
        <v>332</v>
      </c>
      <c r="C31" s="34">
        <v>30105</v>
      </c>
      <c r="D31" s="36">
        <v>1</v>
      </c>
      <c r="E31" s="93">
        <f t="shared" si="2"/>
        <v>357.68700000000001</v>
      </c>
      <c r="F31" s="37">
        <v>261</v>
      </c>
      <c r="G31" s="36">
        <f t="shared" si="0"/>
        <v>5.96</v>
      </c>
      <c r="H31" s="37">
        <v>1</v>
      </c>
      <c r="I31" s="38">
        <f t="shared" si="1"/>
        <v>1555.56</v>
      </c>
      <c r="M31" s="47"/>
    </row>
    <row r="32" spans="1:13">
      <c r="A32" s="34">
        <v>30008</v>
      </c>
      <c r="B32" s="35" t="s">
        <v>333</v>
      </c>
      <c r="C32" s="34">
        <v>30105</v>
      </c>
      <c r="D32" s="36">
        <v>0.5</v>
      </c>
      <c r="E32" s="93">
        <f t="shared" si="2"/>
        <v>357.68700000000001</v>
      </c>
      <c r="F32" s="37">
        <v>261</v>
      </c>
      <c r="G32" s="36">
        <f t="shared" si="0"/>
        <v>2.98</v>
      </c>
      <c r="H32" s="37">
        <v>1</v>
      </c>
      <c r="I32" s="38">
        <f t="shared" si="1"/>
        <v>777.78</v>
      </c>
      <c r="M32" s="47"/>
    </row>
    <row r="33" spans="1:13">
      <c r="A33" s="34">
        <v>30015</v>
      </c>
      <c r="B33" s="35" t="s">
        <v>334</v>
      </c>
      <c r="C33" s="34">
        <v>30105</v>
      </c>
      <c r="D33" s="36">
        <v>0.5</v>
      </c>
      <c r="E33" s="93">
        <f t="shared" si="2"/>
        <v>357.68700000000001</v>
      </c>
      <c r="F33" s="37">
        <v>261</v>
      </c>
      <c r="G33" s="36">
        <f t="shared" si="0"/>
        <v>2.98</v>
      </c>
      <c r="H33" s="37">
        <v>1</v>
      </c>
      <c r="I33" s="38">
        <f t="shared" si="1"/>
        <v>777.78</v>
      </c>
      <c r="M33" s="47"/>
    </row>
    <row r="34" spans="1:13">
      <c r="A34" s="34">
        <v>30012</v>
      </c>
      <c r="B34" s="35" t="s">
        <v>335</v>
      </c>
      <c r="C34" s="34">
        <v>30105</v>
      </c>
      <c r="D34" s="36">
        <v>0.5</v>
      </c>
      <c r="E34" s="93">
        <f t="shared" si="2"/>
        <v>357.68700000000001</v>
      </c>
      <c r="F34" s="37">
        <v>261</v>
      </c>
      <c r="G34" s="36">
        <f t="shared" si="0"/>
        <v>2.98</v>
      </c>
      <c r="H34" s="37">
        <v>1</v>
      </c>
      <c r="I34" s="38">
        <f t="shared" si="1"/>
        <v>777.78</v>
      </c>
      <c r="M34" s="47"/>
    </row>
    <row r="35" spans="1:13">
      <c r="A35" s="34">
        <v>30014</v>
      </c>
      <c r="B35" s="35" t="s">
        <v>336</v>
      </c>
      <c r="C35" s="34">
        <v>30105</v>
      </c>
      <c r="D35" s="36">
        <v>0.5</v>
      </c>
      <c r="E35" s="93">
        <f t="shared" si="2"/>
        <v>357.68700000000001</v>
      </c>
      <c r="F35" s="37">
        <v>261</v>
      </c>
      <c r="G35" s="36">
        <f t="shared" si="0"/>
        <v>2.98</v>
      </c>
      <c r="H35" s="37">
        <v>1</v>
      </c>
      <c r="I35" s="38">
        <f t="shared" si="1"/>
        <v>777.78</v>
      </c>
      <c r="M35" s="47"/>
    </row>
    <row r="36" spans="1:13">
      <c r="A36" s="34">
        <v>30009</v>
      </c>
      <c r="B36" s="35" t="s">
        <v>337</v>
      </c>
      <c r="C36" s="34">
        <v>30105</v>
      </c>
      <c r="D36" s="36">
        <v>0.5</v>
      </c>
      <c r="E36" s="93">
        <f t="shared" si="2"/>
        <v>357.68700000000001</v>
      </c>
      <c r="F36" s="37">
        <v>261</v>
      </c>
      <c r="G36" s="36">
        <f t="shared" si="0"/>
        <v>2.98</v>
      </c>
      <c r="H36" s="37">
        <v>2</v>
      </c>
      <c r="I36" s="38">
        <f t="shared" si="1"/>
        <v>1555.56</v>
      </c>
      <c r="M36" s="47"/>
    </row>
    <row r="37" spans="1:13">
      <c r="A37" s="34">
        <v>30020</v>
      </c>
      <c r="B37" s="35" t="s">
        <v>338</v>
      </c>
      <c r="C37" s="34">
        <v>30105</v>
      </c>
      <c r="D37" s="36">
        <v>1</v>
      </c>
      <c r="E37" s="93">
        <f t="shared" si="2"/>
        <v>357.68700000000001</v>
      </c>
      <c r="F37" s="37">
        <v>261</v>
      </c>
      <c r="G37" s="36">
        <f t="shared" si="0"/>
        <v>5.96</v>
      </c>
      <c r="H37" s="37">
        <v>1</v>
      </c>
      <c r="I37" s="38">
        <f t="shared" si="1"/>
        <v>1555.56</v>
      </c>
      <c r="M37" s="47"/>
    </row>
    <row r="38" spans="1:13">
      <c r="A38" s="34">
        <v>30005</v>
      </c>
      <c r="B38" s="35" t="s">
        <v>339</v>
      </c>
      <c r="C38" s="34">
        <v>30105</v>
      </c>
      <c r="D38" s="36">
        <v>0.5</v>
      </c>
      <c r="E38" s="93">
        <f t="shared" si="2"/>
        <v>357.68700000000001</v>
      </c>
      <c r="F38" s="37">
        <v>261</v>
      </c>
      <c r="G38" s="36">
        <f t="shared" si="0"/>
        <v>2.98</v>
      </c>
      <c r="H38" s="37">
        <v>2</v>
      </c>
      <c r="I38" s="38">
        <f t="shared" si="1"/>
        <v>1555.56</v>
      </c>
      <c r="M38" s="47"/>
    </row>
    <row r="39" spans="1:13">
      <c r="A39" s="34">
        <v>30006</v>
      </c>
      <c r="B39" s="35" t="s">
        <v>340</v>
      </c>
      <c r="C39" s="34">
        <v>30105</v>
      </c>
      <c r="D39" s="36">
        <v>0.5</v>
      </c>
      <c r="E39" s="93">
        <f t="shared" si="2"/>
        <v>357.68700000000001</v>
      </c>
      <c r="F39" s="37">
        <v>261</v>
      </c>
      <c r="G39" s="36">
        <f t="shared" si="0"/>
        <v>2.98</v>
      </c>
      <c r="H39" s="14"/>
      <c r="I39" s="38" t="s">
        <v>504</v>
      </c>
      <c r="M39" s="47"/>
    </row>
    <row r="40" spans="1:13">
      <c r="A40" s="34">
        <v>30001</v>
      </c>
      <c r="B40" s="35" t="s">
        <v>341</v>
      </c>
      <c r="C40" s="34">
        <v>30105</v>
      </c>
      <c r="D40" s="36">
        <v>1</v>
      </c>
      <c r="E40" s="93">
        <f t="shared" si="2"/>
        <v>357.68700000000001</v>
      </c>
      <c r="F40" s="37">
        <v>261</v>
      </c>
      <c r="G40" s="36">
        <f t="shared" si="0"/>
        <v>5.96</v>
      </c>
      <c r="H40" s="37">
        <v>1</v>
      </c>
      <c r="I40" s="38">
        <f t="shared" si="1"/>
        <v>1555.56</v>
      </c>
      <c r="M40" s="47"/>
    </row>
    <row r="41" spans="1:13">
      <c r="A41" s="34">
        <v>30002</v>
      </c>
      <c r="B41" s="35" t="s">
        <v>342</v>
      </c>
      <c r="C41" s="34">
        <v>30105</v>
      </c>
      <c r="D41" s="36">
        <v>1</v>
      </c>
      <c r="E41" s="93">
        <f t="shared" si="2"/>
        <v>357.68700000000001</v>
      </c>
      <c r="F41" s="37">
        <v>261</v>
      </c>
      <c r="G41" s="36">
        <f t="shared" si="0"/>
        <v>5.96</v>
      </c>
      <c r="H41" s="14"/>
      <c r="I41" s="38" t="s">
        <v>504</v>
      </c>
      <c r="M41" s="47"/>
    </row>
    <row r="42" spans="1:13">
      <c r="A42" s="34">
        <v>30059</v>
      </c>
      <c r="B42" s="35" t="s">
        <v>343</v>
      </c>
      <c r="C42" s="34">
        <v>30105</v>
      </c>
      <c r="D42" s="36">
        <v>0.5</v>
      </c>
      <c r="E42" s="93">
        <f t="shared" si="2"/>
        <v>357.68700000000001</v>
      </c>
      <c r="F42" s="37">
        <v>261</v>
      </c>
      <c r="G42" s="36">
        <f t="shared" si="0"/>
        <v>2.98</v>
      </c>
      <c r="H42" s="39"/>
      <c r="I42" s="38" t="s">
        <v>504</v>
      </c>
      <c r="M42" s="47"/>
    </row>
    <row r="43" spans="1:13">
      <c r="A43" s="34">
        <v>30000</v>
      </c>
      <c r="B43" s="35" t="s">
        <v>344</v>
      </c>
      <c r="C43" s="34">
        <v>30105</v>
      </c>
      <c r="D43" s="36">
        <v>0.5</v>
      </c>
      <c r="E43" s="93">
        <f t="shared" si="2"/>
        <v>357.68700000000001</v>
      </c>
      <c r="F43" s="37">
        <v>261</v>
      </c>
      <c r="G43" s="36">
        <f t="shared" si="0"/>
        <v>2.98</v>
      </c>
      <c r="H43" s="37">
        <v>1</v>
      </c>
      <c r="I43" s="38">
        <f t="shared" si="1"/>
        <v>777.78</v>
      </c>
      <c r="M43" s="47"/>
    </row>
    <row r="44" spans="1:13">
      <c r="A44" s="34">
        <v>30025</v>
      </c>
      <c r="B44" s="35" t="s">
        <v>345</v>
      </c>
      <c r="C44" s="34">
        <v>30105</v>
      </c>
      <c r="D44" s="36">
        <v>3</v>
      </c>
      <c r="E44" s="93">
        <f t="shared" si="2"/>
        <v>357.68700000000001</v>
      </c>
      <c r="F44" s="37">
        <v>261</v>
      </c>
      <c r="G44" s="36">
        <f t="shared" si="0"/>
        <v>17.88</v>
      </c>
      <c r="H44" s="37">
        <v>1</v>
      </c>
      <c r="I44" s="38">
        <f t="shared" si="1"/>
        <v>4666.68</v>
      </c>
      <c r="M44" s="47"/>
    </row>
    <row r="45" spans="1:13">
      <c r="A45" s="34">
        <v>30016</v>
      </c>
      <c r="B45" s="35" t="s">
        <v>346</v>
      </c>
      <c r="C45" s="34">
        <v>30105</v>
      </c>
      <c r="D45" s="36">
        <v>2</v>
      </c>
      <c r="E45" s="93">
        <f t="shared" si="2"/>
        <v>357.68700000000001</v>
      </c>
      <c r="F45" s="37">
        <v>261</v>
      </c>
      <c r="G45" s="36">
        <f t="shared" si="0"/>
        <v>11.92</v>
      </c>
      <c r="H45" s="37">
        <v>1</v>
      </c>
      <c r="I45" s="38">
        <f t="shared" si="1"/>
        <v>3111.12</v>
      </c>
      <c r="M45" s="47"/>
    </row>
    <row r="46" spans="1:13">
      <c r="A46" s="34">
        <v>30024</v>
      </c>
      <c r="B46" s="35" t="s">
        <v>347</v>
      </c>
      <c r="C46" s="34">
        <v>30105</v>
      </c>
      <c r="D46" s="36">
        <v>1</v>
      </c>
      <c r="E46" s="93">
        <f t="shared" si="2"/>
        <v>357.68700000000001</v>
      </c>
      <c r="F46" s="37">
        <v>261</v>
      </c>
      <c r="G46" s="36">
        <f t="shared" si="0"/>
        <v>5.96</v>
      </c>
      <c r="H46" s="14"/>
      <c r="I46" s="38" t="s">
        <v>504</v>
      </c>
      <c r="M46" s="47"/>
    </row>
    <row r="47" spans="1:13">
      <c r="A47" s="34">
        <v>30023</v>
      </c>
      <c r="B47" s="35" t="s">
        <v>348</v>
      </c>
      <c r="C47" s="34">
        <v>30105</v>
      </c>
      <c r="D47" s="36">
        <v>0.5</v>
      </c>
      <c r="E47" s="93">
        <f t="shared" si="2"/>
        <v>357.68700000000001</v>
      </c>
      <c r="F47" s="37">
        <v>261</v>
      </c>
      <c r="G47" s="36">
        <f t="shared" si="0"/>
        <v>2.98</v>
      </c>
      <c r="H47" s="37">
        <v>1</v>
      </c>
      <c r="I47" s="38">
        <f t="shared" si="1"/>
        <v>777.78</v>
      </c>
      <c r="M47" s="47"/>
    </row>
    <row r="48" spans="1:13">
      <c r="A48" s="162" t="s">
        <v>349</v>
      </c>
      <c r="B48" s="163"/>
      <c r="C48" s="163"/>
      <c r="D48" s="163"/>
      <c r="E48" s="163"/>
      <c r="F48" s="163"/>
      <c r="G48" s="163"/>
      <c r="H48" s="164"/>
      <c r="I48" s="41">
        <f>SUM(I5:I19,I21:I47)</f>
        <v>79484.939999999973</v>
      </c>
    </row>
    <row r="49" spans="1:11">
      <c r="A49" s="165" t="s">
        <v>350</v>
      </c>
      <c r="B49" s="166"/>
      <c r="C49" s="166"/>
      <c r="D49" s="166"/>
      <c r="E49" s="167"/>
      <c r="F49" s="171" t="s">
        <v>351</v>
      </c>
      <c r="G49" s="32" t="s">
        <v>296</v>
      </c>
      <c r="H49" s="171" t="s">
        <v>352</v>
      </c>
      <c r="I49" s="32" t="s">
        <v>298</v>
      </c>
    </row>
    <row r="50" spans="1:11">
      <c r="A50" s="168"/>
      <c r="B50" s="169"/>
      <c r="C50" s="169"/>
      <c r="D50" s="169"/>
      <c r="E50" s="170"/>
      <c r="F50" s="172"/>
      <c r="G50" s="33" t="s">
        <v>353</v>
      </c>
      <c r="H50" s="172"/>
      <c r="I50" s="48" t="s">
        <v>354</v>
      </c>
    </row>
    <row r="51" spans="1:11">
      <c r="A51" s="40" t="s">
        <v>355</v>
      </c>
      <c r="B51" s="173" t="s">
        <v>356</v>
      </c>
      <c r="C51" s="174"/>
      <c r="D51" s="174"/>
      <c r="E51" s="175"/>
      <c r="F51" s="42">
        <v>0.3</v>
      </c>
      <c r="G51" s="36">
        <v>91.961299999999994</v>
      </c>
      <c r="H51" s="37">
        <v>62</v>
      </c>
      <c r="I51" s="38">
        <f>TRUNC(F51*G51*H51,2)</f>
        <v>1710.48</v>
      </c>
      <c r="K51" s="50"/>
    </row>
    <row r="52" spans="1:11">
      <c r="A52" s="162" t="s">
        <v>357</v>
      </c>
      <c r="B52" s="163"/>
      <c r="C52" s="163"/>
      <c r="D52" s="163"/>
      <c r="E52" s="163"/>
      <c r="F52" s="163"/>
      <c r="G52" s="163"/>
      <c r="H52" s="164"/>
      <c r="I52" s="41">
        <f>I51</f>
        <v>1710.48</v>
      </c>
    </row>
    <row r="53" spans="1:11">
      <c r="A53" s="156" t="s">
        <v>358</v>
      </c>
      <c r="B53" s="157"/>
      <c r="C53" s="157"/>
      <c r="D53" s="157"/>
      <c r="E53" s="157"/>
      <c r="F53" s="157"/>
      <c r="G53" s="157"/>
      <c r="H53" s="158"/>
      <c r="I53" s="43">
        <f>I48+I52</f>
        <v>81195.419999999969</v>
      </c>
    </row>
    <row r="54" spans="1:11">
      <c r="A54" s="159" t="s">
        <v>506</v>
      </c>
      <c r="B54" s="160"/>
      <c r="C54" s="160"/>
      <c r="D54" s="160"/>
      <c r="E54" s="160"/>
      <c r="F54" s="160"/>
      <c r="G54" s="160"/>
      <c r="H54" s="161"/>
      <c r="I54" s="43">
        <f>ROUND(I53*0.2355,4)</f>
        <v>19121.521400000001</v>
      </c>
    </row>
    <row r="55" spans="1:11">
      <c r="A55" s="156" t="s">
        <v>359</v>
      </c>
      <c r="B55" s="157"/>
      <c r="C55" s="157"/>
      <c r="D55" s="157"/>
      <c r="E55" s="157"/>
      <c r="F55" s="157"/>
      <c r="G55" s="157"/>
      <c r="H55" s="158"/>
      <c r="I55" s="43">
        <f>I53+I54</f>
        <v>100316.94139999997</v>
      </c>
    </row>
    <row r="56" spans="1:11">
      <c r="A56" s="156" t="s">
        <v>360</v>
      </c>
      <c r="B56" s="157"/>
      <c r="C56" s="157"/>
      <c r="D56" s="157"/>
      <c r="E56" s="157"/>
      <c r="F56" s="157"/>
      <c r="G56" s="157"/>
      <c r="H56" s="158"/>
      <c r="I56" s="43">
        <f>I55*2</f>
        <v>200633.88279999993</v>
      </c>
    </row>
  </sheetData>
  <mergeCells count="15">
    <mergeCell ref="A1:I1"/>
    <mergeCell ref="A53:H53"/>
    <mergeCell ref="A54:H54"/>
    <mergeCell ref="A55:H55"/>
    <mergeCell ref="A56:H56"/>
    <mergeCell ref="A48:H48"/>
    <mergeCell ref="A49:E50"/>
    <mergeCell ref="F49:F50"/>
    <mergeCell ref="H49:H50"/>
    <mergeCell ref="B51:E51"/>
    <mergeCell ref="A52:H52"/>
    <mergeCell ref="A2:B3"/>
    <mergeCell ref="C2:C3"/>
    <mergeCell ref="A4:I4"/>
    <mergeCell ref="A20:I20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26330-CDCF-4FA7-9995-3CAA06A6DA81}">
  <dimension ref="A1:F49"/>
  <sheetViews>
    <sheetView topLeftCell="A14" workbookViewId="0">
      <selection activeCell="L45" sqref="L45"/>
    </sheetView>
  </sheetViews>
  <sheetFormatPr defaultRowHeight="12.75"/>
  <cols>
    <col min="1" max="1" width="45.140625" customWidth="1"/>
    <col min="3" max="3" width="9" bestFit="1" customWidth="1"/>
    <col min="4" max="4" width="12.42578125" style="11" bestFit="1" customWidth="1"/>
    <col min="5" max="5" width="12" style="11" bestFit="1" customWidth="1"/>
    <col min="6" max="6" width="11.7109375" hidden="1" customWidth="1"/>
  </cols>
  <sheetData>
    <row r="1" spans="1:5" ht="72" customHeight="1">
      <c r="A1" s="185" t="s">
        <v>243</v>
      </c>
      <c r="B1" s="186"/>
      <c r="C1" s="186"/>
      <c r="D1" s="186"/>
      <c r="E1" s="187"/>
    </row>
    <row r="2" spans="1:5">
      <c r="A2" s="193" t="s">
        <v>363</v>
      </c>
      <c r="B2" s="195" t="s">
        <v>364</v>
      </c>
      <c r="C2" s="197" t="s">
        <v>365</v>
      </c>
      <c r="D2" s="199" t="s">
        <v>366</v>
      </c>
      <c r="E2" s="200"/>
    </row>
    <row r="3" spans="1:5">
      <c r="A3" s="194"/>
      <c r="B3" s="196"/>
      <c r="C3" s="198"/>
      <c r="D3" s="55" t="s">
        <v>367</v>
      </c>
      <c r="E3" s="56" t="s">
        <v>368</v>
      </c>
    </row>
    <row r="4" spans="1:5">
      <c r="A4" s="201" t="s">
        <v>369</v>
      </c>
      <c r="B4" s="202"/>
      <c r="C4" s="202"/>
      <c r="D4" s="202"/>
      <c r="E4" s="203"/>
    </row>
    <row r="5" spans="1:5">
      <c r="A5" s="59" t="s">
        <v>370</v>
      </c>
      <c r="B5" s="51" t="s">
        <v>371</v>
      </c>
      <c r="C5" s="125">
        <v>25487.03</v>
      </c>
      <c r="D5" s="54">
        <v>4.5</v>
      </c>
      <c r="E5" s="60">
        <f>ROUND(C5*D5,2)</f>
        <v>114691.64</v>
      </c>
    </row>
    <row r="6" spans="1:5">
      <c r="A6" s="59" t="s">
        <v>372</v>
      </c>
      <c r="B6" s="51" t="s">
        <v>371</v>
      </c>
      <c r="C6" s="125">
        <v>19593.169999999998</v>
      </c>
      <c r="D6" s="54">
        <v>18</v>
      </c>
      <c r="E6" s="60">
        <f t="shared" ref="E6:E40" si="0">ROUND(C6*D6,2)</f>
        <v>352677.06</v>
      </c>
    </row>
    <row r="7" spans="1:5">
      <c r="A7" s="59" t="s">
        <v>373</v>
      </c>
      <c r="B7" s="51" t="s">
        <v>371</v>
      </c>
      <c r="C7" s="125">
        <v>17350.77</v>
      </c>
      <c r="D7" s="54">
        <v>0</v>
      </c>
      <c r="E7" s="60">
        <f t="shared" si="0"/>
        <v>0</v>
      </c>
    </row>
    <row r="8" spans="1:5">
      <c r="A8" s="59" t="s">
        <v>374</v>
      </c>
      <c r="B8" s="51" t="s">
        <v>371</v>
      </c>
      <c r="C8" s="125">
        <v>4300.32</v>
      </c>
      <c r="D8" s="54">
        <v>0</v>
      </c>
      <c r="E8" s="60">
        <f t="shared" si="0"/>
        <v>0</v>
      </c>
    </row>
    <row r="9" spans="1:5">
      <c r="A9" s="59" t="s">
        <v>375</v>
      </c>
      <c r="B9" s="51" t="s">
        <v>371</v>
      </c>
      <c r="C9" s="125">
        <v>6396.4</v>
      </c>
      <c r="D9" s="54">
        <v>0</v>
      </c>
      <c r="E9" s="60">
        <f t="shared" si="0"/>
        <v>0</v>
      </c>
    </row>
    <row r="10" spans="1:5">
      <c r="A10" s="59" t="s">
        <v>376</v>
      </c>
      <c r="B10" s="51" t="s">
        <v>371</v>
      </c>
      <c r="C10" s="125">
        <v>5108.22</v>
      </c>
      <c r="D10" s="54">
        <v>18</v>
      </c>
      <c r="E10" s="60">
        <f t="shared" si="0"/>
        <v>91947.96</v>
      </c>
    </row>
    <row r="11" spans="1:5">
      <c r="A11" s="59" t="s">
        <v>377</v>
      </c>
      <c r="B11" s="51" t="s">
        <v>371</v>
      </c>
      <c r="C11" s="125">
        <v>2089.7199999999998</v>
      </c>
      <c r="D11" s="54">
        <v>36</v>
      </c>
      <c r="E11" s="60">
        <f t="shared" si="0"/>
        <v>75229.919999999998</v>
      </c>
    </row>
    <row r="12" spans="1:5">
      <c r="A12" s="59" t="s">
        <v>378</v>
      </c>
      <c r="B12" s="51" t="s">
        <v>371</v>
      </c>
      <c r="C12" s="125">
        <v>5108.22</v>
      </c>
      <c r="D12" s="54">
        <v>18</v>
      </c>
      <c r="E12" s="60">
        <f t="shared" si="0"/>
        <v>91947.96</v>
      </c>
    </row>
    <row r="13" spans="1:5">
      <c r="A13" s="59" t="s">
        <v>379</v>
      </c>
      <c r="B13" s="51" t="s">
        <v>371</v>
      </c>
      <c r="C13" s="125">
        <v>5108.22</v>
      </c>
      <c r="D13" s="54">
        <v>9</v>
      </c>
      <c r="E13" s="60">
        <f t="shared" si="0"/>
        <v>45973.98</v>
      </c>
    </row>
    <row r="14" spans="1:5">
      <c r="A14" s="59" t="s">
        <v>380</v>
      </c>
      <c r="B14" s="51" t="s">
        <v>371</v>
      </c>
      <c r="C14" s="125">
        <v>5108.22</v>
      </c>
      <c r="D14" s="54">
        <v>9</v>
      </c>
      <c r="E14" s="60">
        <f t="shared" si="0"/>
        <v>45973.98</v>
      </c>
    </row>
    <row r="15" spans="1:5">
      <c r="A15" s="59" t="s">
        <v>381</v>
      </c>
      <c r="B15" s="51" t="s">
        <v>371</v>
      </c>
      <c r="C15" s="125">
        <v>2140.08</v>
      </c>
      <c r="D15" s="54">
        <v>72</v>
      </c>
      <c r="E15" s="60">
        <f t="shared" si="0"/>
        <v>154085.76000000001</v>
      </c>
    </row>
    <row r="16" spans="1:5">
      <c r="A16" s="201" t="s">
        <v>382</v>
      </c>
      <c r="B16" s="202"/>
      <c r="C16" s="202"/>
      <c r="D16" s="202"/>
      <c r="E16" s="203"/>
    </row>
    <row r="17" spans="1:5">
      <c r="A17" s="59" t="s">
        <v>383</v>
      </c>
      <c r="B17" s="51" t="s">
        <v>371</v>
      </c>
      <c r="C17" s="125">
        <v>20065.3</v>
      </c>
      <c r="D17" s="54">
        <v>0</v>
      </c>
      <c r="E17" s="60">
        <f t="shared" si="0"/>
        <v>0</v>
      </c>
    </row>
    <row r="18" spans="1:5">
      <c r="A18" s="59" t="s">
        <v>384</v>
      </c>
      <c r="B18" s="51" t="s">
        <v>371</v>
      </c>
      <c r="C18" s="125">
        <v>14489.51</v>
      </c>
      <c r="D18" s="54">
        <v>0</v>
      </c>
      <c r="E18" s="60">
        <f t="shared" si="0"/>
        <v>0</v>
      </c>
    </row>
    <row r="19" spans="1:5">
      <c r="A19" s="59" t="s">
        <v>385</v>
      </c>
      <c r="B19" s="51" t="s">
        <v>371</v>
      </c>
      <c r="C19" s="125">
        <v>4914.7299999999996</v>
      </c>
      <c r="D19" s="54">
        <v>18</v>
      </c>
      <c r="E19" s="60">
        <f t="shared" si="0"/>
        <v>88465.14</v>
      </c>
    </row>
    <row r="20" spans="1:5">
      <c r="A20" s="201" t="s">
        <v>386</v>
      </c>
      <c r="B20" s="202"/>
      <c r="C20" s="202"/>
      <c r="D20" s="202"/>
      <c r="E20" s="203"/>
    </row>
    <row r="21" spans="1:5">
      <c r="A21" s="59" t="s">
        <v>387</v>
      </c>
      <c r="B21" s="51" t="s">
        <v>371</v>
      </c>
      <c r="C21" s="125">
        <v>6550.53</v>
      </c>
      <c r="D21" s="54">
        <v>18</v>
      </c>
      <c r="E21" s="60">
        <f t="shared" si="0"/>
        <v>117909.54</v>
      </c>
    </row>
    <row r="22" spans="1:5">
      <c r="A22" s="59" t="s">
        <v>388</v>
      </c>
      <c r="B22" s="51" t="s">
        <v>371</v>
      </c>
      <c r="C22" s="125">
        <v>2947.9</v>
      </c>
      <c r="D22" s="54">
        <v>47.34</v>
      </c>
      <c r="E22" s="60">
        <f t="shared" si="0"/>
        <v>139553.59</v>
      </c>
    </row>
    <row r="23" spans="1:5">
      <c r="A23" s="201" t="s">
        <v>389</v>
      </c>
      <c r="B23" s="202"/>
      <c r="C23" s="202"/>
      <c r="D23" s="202"/>
      <c r="E23" s="203"/>
    </row>
    <row r="24" spans="1:5">
      <c r="A24" s="59" t="s">
        <v>390</v>
      </c>
      <c r="B24" s="51" t="s">
        <v>371</v>
      </c>
      <c r="C24" s="125">
        <v>3625.44</v>
      </c>
      <c r="D24" s="54">
        <v>18</v>
      </c>
      <c r="E24" s="60">
        <f t="shared" si="0"/>
        <v>65257.919999999998</v>
      </c>
    </row>
    <row r="25" spans="1:5">
      <c r="A25" s="59" t="s">
        <v>391</v>
      </c>
      <c r="B25" s="51" t="s">
        <v>371</v>
      </c>
      <c r="C25" s="125">
        <v>2560.2800000000002</v>
      </c>
      <c r="D25" s="54">
        <v>36</v>
      </c>
      <c r="E25" s="60">
        <f t="shared" si="0"/>
        <v>92170.08</v>
      </c>
    </row>
    <row r="26" spans="1:5">
      <c r="A26" s="59" t="s">
        <v>392</v>
      </c>
      <c r="B26" s="51" t="s">
        <v>371</v>
      </c>
      <c r="C26" s="125">
        <v>5162.91</v>
      </c>
      <c r="D26" s="54">
        <v>72</v>
      </c>
      <c r="E26" s="60">
        <f t="shared" si="0"/>
        <v>371729.52</v>
      </c>
    </row>
    <row r="27" spans="1:5">
      <c r="A27" s="59" t="s">
        <v>393</v>
      </c>
      <c r="B27" s="51" t="s">
        <v>371</v>
      </c>
      <c r="C27" s="125">
        <v>2560.2800000000002</v>
      </c>
      <c r="D27" s="54">
        <v>18</v>
      </c>
      <c r="E27" s="60">
        <f t="shared" si="0"/>
        <v>46085.04</v>
      </c>
    </row>
    <row r="28" spans="1:5">
      <c r="A28" s="59" t="s">
        <v>394</v>
      </c>
      <c r="B28" s="51" t="s">
        <v>371</v>
      </c>
      <c r="C28" s="125">
        <v>2192.1999999999998</v>
      </c>
      <c r="D28" s="54">
        <v>144</v>
      </c>
      <c r="E28" s="60">
        <f t="shared" si="0"/>
        <v>315676.79999999999</v>
      </c>
    </row>
    <row r="29" spans="1:5">
      <c r="A29" s="201" t="s">
        <v>395</v>
      </c>
      <c r="B29" s="202"/>
      <c r="C29" s="202"/>
      <c r="D29" s="202"/>
      <c r="E29" s="203"/>
    </row>
    <row r="30" spans="1:5">
      <c r="A30" s="59" t="s">
        <v>396</v>
      </c>
      <c r="B30" s="51" t="s">
        <v>371</v>
      </c>
      <c r="C30" s="125">
        <v>170</v>
      </c>
      <c r="D30" s="54">
        <v>36</v>
      </c>
      <c r="E30" s="60">
        <f t="shared" si="0"/>
        <v>6120</v>
      </c>
    </row>
    <row r="31" spans="1:5">
      <c r="A31" s="59" t="s">
        <v>397</v>
      </c>
      <c r="B31" s="51" t="s">
        <v>371</v>
      </c>
      <c r="C31" s="125">
        <v>42.5</v>
      </c>
      <c r="D31" s="54">
        <v>54</v>
      </c>
      <c r="E31" s="60">
        <f t="shared" si="0"/>
        <v>2295</v>
      </c>
    </row>
    <row r="32" spans="1:5">
      <c r="A32" s="201" t="s">
        <v>398</v>
      </c>
      <c r="B32" s="202"/>
      <c r="C32" s="202"/>
      <c r="D32" s="202"/>
      <c r="E32" s="203"/>
    </row>
    <row r="33" spans="1:5">
      <c r="A33" s="59" t="s">
        <v>399</v>
      </c>
      <c r="B33" s="51" t="s">
        <v>371</v>
      </c>
      <c r="C33" s="125">
        <v>2838.56</v>
      </c>
      <c r="D33" s="54">
        <v>94.5</v>
      </c>
      <c r="E33" s="60">
        <f t="shared" si="0"/>
        <v>268243.92</v>
      </c>
    </row>
    <row r="34" spans="1:5">
      <c r="A34" s="201" t="s">
        <v>400</v>
      </c>
      <c r="B34" s="202"/>
      <c r="C34" s="202"/>
      <c r="D34" s="202"/>
      <c r="E34" s="203"/>
    </row>
    <row r="35" spans="1:5">
      <c r="A35" s="59" t="s">
        <v>401</v>
      </c>
      <c r="B35" s="51" t="s">
        <v>371</v>
      </c>
      <c r="C35" s="125">
        <v>2942</v>
      </c>
      <c r="D35" s="54">
        <v>18</v>
      </c>
      <c r="E35" s="60">
        <f t="shared" si="0"/>
        <v>52956</v>
      </c>
    </row>
    <row r="36" spans="1:5">
      <c r="A36" s="59" t="s">
        <v>402</v>
      </c>
      <c r="B36" s="51" t="s">
        <v>371</v>
      </c>
      <c r="C36" s="125">
        <v>4911.53</v>
      </c>
      <c r="D36" s="54">
        <v>9</v>
      </c>
      <c r="E36" s="60">
        <f t="shared" si="0"/>
        <v>44203.77</v>
      </c>
    </row>
    <row r="37" spans="1:5">
      <c r="A37" s="59" t="s">
        <v>403</v>
      </c>
      <c r="B37" s="51" t="s">
        <v>371</v>
      </c>
      <c r="C37" s="125">
        <v>3870.63</v>
      </c>
      <c r="D37" s="54">
        <v>9</v>
      </c>
      <c r="E37" s="60">
        <f t="shared" si="0"/>
        <v>34835.67</v>
      </c>
    </row>
    <row r="38" spans="1:5">
      <c r="A38" s="59" t="s">
        <v>404</v>
      </c>
      <c r="B38" s="51" t="s">
        <v>371</v>
      </c>
      <c r="C38" s="125">
        <v>3775.81</v>
      </c>
      <c r="D38" s="54">
        <v>18</v>
      </c>
      <c r="E38" s="60">
        <f t="shared" si="0"/>
        <v>67964.58</v>
      </c>
    </row>
    <row r="39" spans="1:5">
      <c r="A39" s="59" t="s">
        <v>405</v>
      </c>
      <c r="B39" s="51" t="s">
        <v>371</v>
      </c>
      <c r="C39" s="125">
        <v>31225.82</v>
      </c>
      <c r="D39" s="54">
        <v>18</v>
      </c>
      <c r="E39" s="60">
        <f t="shared" si="0"/>
        <v>562064.76</v>
      </c>
    </row>
    <row r="40" spans="1:5">
      <c r="A40" s="59" t="s">
        <v>406</v>
      </c>
      <c r="B40" s="51" t="s">
        <v>371</v>
      </c>
      <c r="C40" s="125">
        <v>31708.67</v>
      </c>
      <c r="D40" s="54">
        <v>18</v>
      </c>
      <c r="E40" s="60">
        <f t="shared" si="0"/>
        <v>570756.06000000006</v>
      </c>
    </row>
    <row r="41" spans="1:5">
      <c r="A41" s="201" t="s">
        <v>407</v>
      </c>
      <c r="B41" s="202"/>
      <c r="C41" s="202"/>
      <c r="D41" s="202"/>
      <c r="E41" s="203"/>
    </row>
    <row r="42" spans="1:5">
      <c r="A42" s="59" t="s">
        <v>408</v>
      </c>
      <c r="B42" s="51" t="s">
        <v>409</v>
      </c>
      <c r="C42" s="125">
        <v>307.95999999999998</v>
      </c>
      <c r="D42" s="54">
        <v>1</v>
      </c>
      <c r="E42" s="60">
        <f t="shared" ref="E42:E46" si="1">ROUND(C42*D42,2)</f>
        <v>307.95999999999998</v>
      </c>
    </row>
    <row r="43" spans="1:5">
      <c r="A43" s="59" t="s">
        <v>410</v>
      </c>
      <c r="B43" s="51" t="s">
        <v>409</v>
      </c>
      <c r="C43" s="125">
        <v>2628.34</v>
      </c>
      <c r="D43" s="54">
        <v>1</v>
      </c>
      <c r="E43" s="60">
        <f t="shared" si="1"/>
        <v>2628.34</v>
      </c>
    </row>
    <row r="44" spans="1:5">
      <c r="A44" s="59" t="s">
        <v>411</v>
      </c>
      <c r="B44" s="51" t="s">
        <v>409</v>
      </c>
      <c r="C44" s="125">
        <v>25.31</v>
      </c>
      <c r="D44" s="54">
        <v>229</v>
      </c>
      <c r="E44" s="60">
        <f t="shared" si="1"/>
        <v>5795.99</v>
      </c>
    </row>
    <row r="45" spans="1:5">
      <c r="A45" s="59" t="s">
        <v>412</v>
      </c>
      <c r="B45" s="51" t="s">
        <v>409</v>
      </c>
      <c r="C45" s="125">
        <v>217.92</v>
      </c>
      <c r="D45" s="54">
        <v>3</v>
      </c>
      <c r="E45" s="60">
        <f t="shared" si="1"/>
        <v>653.76</v>
      </c>
    </row>
    <row r="46" spans="1:5">
      <c r="A46" s="59" t="s">
        <v>413</v>
      </c>
      <c r="B46" s="51" t="s">
        <v>409</v>
      </c>
      <c r="C46" s="125">
        <v>154.94999999999999</v>
      </c>
      <c r="D46" s="54">
        <v>0</v>
      </c>
      <c r="E46" s="60">
        <f t="shared" si="1"/>
        <v>0</v>
      </c>
    </row>
    <row r="47" spans="1:5">
      <c r="A47" s="188" t="s">
        <v>368</v>
      </c>
      <c r="B47" s="189"/>
      <c r="C47" s="190"/>
      <c r="D47" s="191">
        <f>SUM(E5:E15,E17:E19,E21:E22,E24:E28,E30:E31,E33,E35:E40,E42:E46)</f>
        <v>3828201.6999999997</v>
      </c>
      <c r="E47" s="192"/>
    </row>
    <row r="48" spans="1:5">
      <c r="A48" s="188" t="s">
        <v>505</v>
      </c>
      <c r="B48" s="189"/>
      <c r="C48" s="190"/>
      <c r="D48" s="191">
        <f>ROUND(D47*0.2355,2)</f>
        <v>901541.5</v>
      </c>
      <c r="E48" s="192"/>
    </row>
    <row r="49" spans="1:6" ht="13.5" thickBot="1">
      <c r="A49" s="204" t="s">
        <v>414</v>
      </c>
      <c r="B49" s="205"/>
      <c r="C49" s="206"/>
      <c r="D49" s="207">
        <f>ROUND(D47+D48,2)</f>
        <v>4729743.2</v>
      </c>
      <c r="E49" s="208"/>
      <c r="F49" s="47">
        <f>D49</f>
        <v>4729743.2</v>
      </c>
    </row>
  </sheetData>
  <mergeCells count="19">
    <mergeCell ref="A49:C49"/>
    <mergeCell ref="D49:E49"/>
    <mergeCell ref="A20:E20"/>
    <mergeCell ref="A23:E23"/>
    <mergeCell ref="A29:E29"/>
    <mergeCell ref="A32:E32"/>
    <mergeCell ref="A34:E34"/>
    <mergeCell ref="A41:E41"/>
    <mergeCell ref="A1:E1"/>
    <mergeCell ref="A47:C47"/>
    <mergeCell ref="D47:E47"/>
    <mergeCell ref="A48:C48"/>
    <mergeCell ref="D48:E48"/>
    <mergeCell ref="A2:A3"/>
    <mergeCell ref="B2:B3"/>
    <mergeCell ref="C2:C3"/>
    <mergeCell ref="D2:E2"/>
    <mergeCell ref="A4:E4"/>
    <mergeCell ref="A16:E1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4626F-880E-4008-A4C9-DB8DCCAE7515}">
  <sheetPr>
    <pageSetUpPr fitToPage="1"/>
  </sheetPr>
  <dimension ref="A1:G61"/>
  <sheetViews>
    <sheetView topLeftCell="A16" zoomScale="85" zoomScaleNormal="85" workbookViewId="0">
      <selection activeCell="J62" sqref="J62"/>
    </sheetView>
  </sheetViews>
  <sheetFormatPr defaultRowHeight="12.75"/>
  <cols>
    <col min="1" max="1" width="76.5703125" bestFit="1" customWidth="1"/>
    <col min="2" max="2" width="7.7109375" bestFit="1" customWidth="1"/>
    <col min="3" max="3" width="9.85546875" bestFit="1" customWidth="1"/>
    <col min="4" max="4" width="10.7109375" bestFit="1" customWidth="1"/>
    <col min="5" max="5" width="8.7109375" bestFit="1" customWidth="1"/>
    <col min="6" max="7" width="11.7109375" hidden="1" customWidth="1"/>
  </cols>
  <sheetData>
    <row r="1" spans="1:5" ht="90" customHeight="1" thickBot="1">
      <c r="A1" s="211" t="s">
        <v>244</v>
      </c>
      <c r="B1" s="211"/>
      <c r="C1" s="211"/>
      <c r="D1" s="211"/>
      <c r="E1" s="211"/>
    </row>
    <row r="2" spans="1:5" ht="24" customHeight="1">
      <c r="A2" s="214" t="s">
        <v>363</v>
      </c>
      <c r="B2" s="215" t="s">
        <v>364</v>
      </c>
      <c r="C2" s="216" t="s">
        <v>365</v>
      </c>
      <c r="D2" s="217" t="s">
        <v>366</v>
      </c>
      <c r="E2" s="218"/>
    </row>
    <row r="3" spans="1:5" ht="22.5">
      <c r="A3" s="194"/>
      <c r="B3" s="196"/>
      <c r="C3" s="198"/>
      <c r="D3" s="55" t="s">
        <v>367</v>
      </c>
      <c r="E3" s="56" t="s">
        <v>368</v>
      </c>
    </row>
    <row r="4" spans="1:5">
      <c r="A4" s="201" t="s">
        <v>415</v>
      </c>
      <c r="B4" s="202"/>
      <c r="C4" s="202"/>
      <c r="D4" s="202"/>
      <c r="E4" s="203"/>
    </row>
    <row r="5" spans="1:5">
      <c r="A5" s="57" t="s">
        <v>476</v>
      </c>
      <c r="B5" s="51" t="s">
        <v>416</v>
      </c>
      <c r="C5" s="127">
        <v>0.44</v>
      </c>
      <c r="D5" s="52">
        <v>18000</v>
      </c>
      <c r="E5" s="58">
        <f>ROUND(C5*D5,2)</f>
        <v>7920</v>
      </c>
    </row>
    <row r="6" spans="1:5">
      <c r="A6" s="57" t="s">
        <v>477</v>
      </c>
      <c r="B6" s="51" t="s">
        <v>417</v>
      </c>
      <c r="C6" s="127">
        <v>7.06</v>
      </c>
      <c r="D6" s="52">
        <v>5616</v>
      </c>
      <c r="E6" s="58">
        <f>ROUND(C6*D6,2)</f>
        <v>39648.959999999999</v>
      </c>
    </row>
    <row r="7" spans="1:5">
      <c r="A7" s="59" t="s">
        <v>418</v>
      </c>
      <c r="B7" s="51" t="s">
        <v>417</v>
      </c>
      <c r="C7" s="127">
        <v>4.07</v>
      </c>
      <c r="D7" s="52">
        <v>4320</v>
      </c>
      <c r="E7" s="58">
        <f>ROUND(C7*D7,2)</f>
        <v>17582.400000000001</v>
      </c>
    </row>
    <row r="8" spans="1:5">
      <c r="A8" s="201" t="s">
        <v>419</v>
      </c>
      <c r="B8" s="202"/>
      <c r="C8" s="202"/>
      <c r="D8" s="202"/>
      <c r="E8" s="203"/>
    </row>
    <row r="9" spans="1:5">
      <c r="A9" s="59" t="s">
        <v>420</v>
      </c>
      <c r="B9" s="51" t="s">
        <v>416</v>
      </c>
      <c r="C9" s="126">
        <v>269.83</v>
      </c>
      <c r="D9" s="53">
        <v>120</v>
      </c>
      <c r="E9" s="58">
        <f>ROUND(C9*D9,2)</f>
        <v>32379.599999999999</v>
      </c>
    </row>
    <row r="10" spans="1:5">
      <c r="A10" s="59" t="s">
        <v>421</v>
      </c>
      <c r="B10" s="51" t="s">
        <v>371</v>
      </c>
      <c r="C10" s="126">
        <v>3081.48</v>
      </c>
      <c r="D10" s="53">
        <v>0</v>
      </c>
      <c r="E10" s="58">
        <f t="shared" ref="E10:E45" si="0">ROUND(C10*D10,2)</f>
        <v>0</v>
      </c>
    </row>
    <row r="11" spans="1:5">
      <c r="A11" s="59" t="s">
        <v>422</v>
      </c>
      <c r="B11" s="51" t="s">
        <v>416</v>
      </c>
      <c r="C11" s="126">
        <v>261.57</v>
      </c>
      <c r="D11" s="53">
        <v>63.53</v>
      </c>
      <c r="E11" s="58">
        <f t="shared" si="0"/>
        <v>16617.54</v>
      </c>
    </row>
    <row r="12" spans="1:5">
      <c r="A12" s="59" t="s">
        <v>423</v>
      </c>
      <c r="B12" s="51" t="s">
        <v>416</v>
      </c>
      <c r="C12" s="126">
        <v>261.57</v>
      </c>
      <c r="D12" s="53">
        <v>93.61</v>
      </c>
      <c r="E12" s="58">
        <f t="shared" si="0"/>
        <v>24485.57</v>
      </c>
    </row>
    <row r="13" spans="1:5">
      <c r="A13" s="59" t="s">
        <v>424</v>
      </c>
      <c r="B13" s="51" t="s">
        <v>371</v>
      </c>
      <c r="C13" s="126">
        <v>3367.22</v>
      </c>
      <c r="D13" s="53">
        <v>22.5</v>
      </c>
      <c r="E13" s="58">
        <f t="shared" si="0"/>
        <v>75762.45</v>
      </c>
    </row>
    <row r="14" spans="1:5">
      <c r="A14" s="59" t="s">
        <v>425</v>
      </c>
      <c r="B14" s="51" t="s">
        <v>371</v>
      </c>
      <c r="C14" s="126">
        <v>3914.79</v>
      </c>
      <c r="D14" s="53">
        <v>9</v>
      </c>
      <c r="E14" s="58">
        <f t="shared" si="0"/>
        <v>35233.11</v>
      </c>
    </row>
    <row r="15" spans="1:5">
      <c r="A15" s="59" t="s">
        <v>426</v>
      </c>
      <c r="B15" s="51" t="s">
        <v>371</v>
      </c>
      <c r="C15" s="126">
        <v>349.82</v>
      </c>
      <c r="D15" s="53">
        <v>22.5</v>
      </c>
      <c r="E15" s="58">
        <f t="shared" si="0"/>
        <v>7870.95</v>
      </c>
    </row>
    <row r="16" spans="1:5">
      <c r="A16" s="59" t="s">
        <v>427</v>
      </c>
      <c r="B16" s="51" t="s">
        <v>416</v>
      </c>
      <c r="C16" s="126">
        <v>179.25</v>
      </c>
      <c r="D16" s="53">
        <v>38.4</v>
      </c>
      <c r="E16" s="58">
        <f t="shared" si="0"/>
        <v>6883.2</v>
      </c>
    </row>
    <row r="17" spans="1:5">
      <c r="A17" s="59" t="s">
        <v>428</v>
      </c>
      <c r="B17" s="51" t="s">
        <v>416</v>
      </c>
      <c r="C17" s="126">
        <v>179.25</v>
      </c>
      <c r="D17" s="53">
        <v>0</v>
      </c>
      <c r="E17" s="58">
        <f t="shared" si="0"/>
        <v>0</v>
      </c>
    </row>
    <row r="18" spans="1:5">
      <c r="A18" s="59" t="s">
        <v>429</v>
      </c>
      <c r="B18" s="51" t="s">
        <v>416</v>
      </c>
      <c r="C18" s="126">
        <v>179.25</v>
      </c>
      <c r="D18" s="53">
        <v>120</v>
      </c>
      <c r="E18" s="58">
        <f t="shared" si="0"/>
        <v>21510</v>
      </c>
    </row>
    <row r="19" spans="1:5">
      <c r="A19" s="59" t="s">
        <v>430</v>
      </c>
      <c r="B19" s="51" t="s">
        <v>416</v>
      </c>
      <c r="C19" s="126">
        <v>256.2</v>
      </c>
      <c r="D19" s="53">
        <v>12</v>
      </c>
      <c r="E19" s="58">
        <f t="shared" si="0"/>
        <v>3074.4</v>
      </c>
    </row>
    <row r="20" spans="1:5">
      <c r="A20" s="59" t="s">
        <v>431</v>
      </c>
      <c r="B20" s="51" t="s">
        <v>416</v>
      </c>
      <c r="C20" s="126">
        <v>178.09</v>
      </c>
      <c r="D20" s="53">
        <v>20</v>
      </c>
      <c r="E20" s="58">
        <f t="shared" si="0"/>
        <v>3561.8</v>
      </c>
    </row>
    <row r="21" spans="1:5">
      <c r="A21" s="59" t="s">
        <v>432</v>
      </c>
      <c r="B21" s="51" t="s">
        <v>416</v>
      </c>
      <c r="C21" s="126">
        <v>256.07</v>
      </c>
      <c r="D21" s="53">
        <v>148.5</v>
      </c>
      <c r="E21" s="58">
        <f t="shared" si="0"/>
        <v>38026.400000000001</v>
      </c>
    </row>
    <row r="22" spans="1:5">
      <c r="A22" s="59" t="s">
        <v>433</v>
      </c>
      <c r="B22" s="51" t="s">
        <v>416</v>
      </c>
      <c r="C22" s="126">
        <v>253.31</v>
      </c>
      <c r="D22" s="53">
        <v>42.9</v>
      </c>
      <c r="E22" s="58">
        <f t="shared" si="0"/>
        <v>10867</v>
      </c>
    </row>
    <row r="23" spans="1:5">
      <c r="A23" s="59" t="s">
        <v>434</v>
      </c>
      <c r="B23" s="51" t="s">
        <v>435</v>
      </c>
      <c r="C23" s="126">
        <v>254.7</v>
      </c>
      <c r="D23" s="53">
        <v>90</v>
      </c>
      <c r="E23" s="58">
        <f t="shared" si="0"/>
        <v>22923</v>
      </c>
    </row>
    <row r="24" spans="1:5">
      <c r="A24" s="59" t="s">
        <v>436</v>
      </c>
      <c r="B24" s="51" t="s">
        <v>416</v>
      </c>
      <c r="C24" s="126">
        <v>253.31</v>
      </c>
      <c r="D24" s="53">
        <v>31</v>
      </c>
      <c r="E24" s="58">
        <f t="shared" si="0"/>
        <v>7852.61</v>
      </c>
    </row>
    <row r="25" spans="1:5">
      <c r="A25" s="59" t="s">
        <v>437</v>
      </c>
      <c r="B25" s="51" t="s">
        <v>435</v>
      </c>
      <c r="C25" s="126">
        <v>193.14</v>
      </c>
      <c r="D25" s="53">
        <v>54</v>
      </c>
      <c r="E25" s="58">
        <f t="shared" si="0"/>
        <v>10429.56</v>
      </c>
    </row>
    <row r="26" spans="1:5">
      <c r="A26" s="59" t="s">
        <v>438</v>
      </c>
      <c r="B26" s="51" t="s">
        <v>439</v>
      </c>
      <c r="C26" s="126">
        <v>204.65</v>
      </c>
      <c r="D26" s="53">
        <v>25</v>
      </c>
      <c r="E26" s="58">
        <f t="shared" si="0"/>
        <v>5116.25</v>
      </c>
    </row>
    <row r="27" spans="1:5">
      <c r="A27" s="59" t="s">
        <v>440</v>
      </c>
      <c r="B27" s="51" t="s">
        <v>416</v>
      </c>
      <c r="C27" s="126">
        <v>215.32</v>
      </c>
      <c r="D27" s="53">
        <v>40</v>
      </c>
      <c r="E27" s="58">
        <f t="shared" si="0"/>
        <v>8612.7999999999993</v>
      </c>
    </row>
    <row r="28" spans="1:5">
      <c r="A28" s="59" t="s">
        <v>441</v>
      </c>
      <c r="B28" s="51" t="s">
        <v>416</v>
      </c>
      <c r="C28" s="126">
        <v>215.32</v>
      </c>
      <c r="D28" s="53">
        <v>21.78</v>
      </c>
      <c r="E28" s="58">
        <f t="shared" si="0"/>
        <v>4689.67</v>
      </c>
    </row>
    <row r="29" spans="1:5">
      <c r="A29" s="59" t="s">
        <v>442</v>
      </c>
      <c r="B29" s="51" t="s">
        <v>443</v>
      </c>
      <c r="C29" s="126">
        <v>15.91</v>
      </c>
      <c r="D29" s="53">
        <v>560</v>
      </c>
      <c r="E29" s="58">
        <f t="shared" si="0"/>
        <v>8909.6</v>
      </c>
    </row>
    <row r="30" spans="1:5">
      <c r="A30" s="59" t="s">
        <v>444</v>
      </c>
      <c r="B30" s="51" t="s">
        <v>416</v>
      </c>
      <c r="C30" s="126">
        <v>253.31</v>
      </c>
      <c r="D30" s="53">
        <v>18</v>
      </c>
      <c r="E30" s="58">
        <f t="shared" si="0"/>
        <v>4559.58</v>
      </c>
    </row>
    <row r="31" spans="1:5">
      <c r="A31" s="59" t="s">
        <v>445</v>
      </c>
      <c r="B31" s="51" t="s">
        <v>435</v>
      </c>
      <c r="C31" s="126">
        <v>6315.28</v>
      </c>
      <c r="D31" s="53">
        <v>3</v>
      </c>
      <c r="E31" s="58">
        <f t="shared" si="0"/>
        <v>18945.84</v>
      </c>
    </row>
    <row r="32" spans="1:5">
      <c r="A32" s="59" t="s">
        <v>446</v>
      </c>
      <c r="B32" s="51" t="s">
        <v>435</v>
      </c>
      <c r="C32" s="126">
        <v>2906.47</v>
      </c>
      <c r="D32" s="53">
        <v>3</v>
      </c>
      <c r="E32" s="58">
        <f t="shared" si="0"/>
        <v>8719.41</v>
      </c>
    </row>
    <row r="33" spans="1:5">
      <c r="A33" s="59" t="s">
        <v>447</v>
      </c>
      <c r="B33" s="51" t="s">
        <v>435</v>
      </c>
      <c r="C33" s="126">
        <v>12224.71</v>
      </c>
      <c r="D33" s="53">
        <v>1</v>
      </c>
      <c r="E33" s="58">
        <f t="shared" si="0"/>
        <v>12224.71</v>
      </c>
    </row>
    <row r="34" spans="1:5">
      <c r="A34" s="59" t="s">
        <v>448</v>
      </c>
      <c r="B34" s="51" t="s">
        <v>416</v>
      </c>
      <c r="C34" s="126">
        <v>353.26</v>
      </c>
      <c r="D34" s="53">
        <v>15</v>
      </c>
      <c r="E34" s="58">
        <f t="shared" si="0"/>
        <v>5298.9</v>
      </c>
    </row>
    <row r="35" spans="1:5">
      <c r="A35" s="59" t="s">
        <v>449</v>
      </c>
      <c r="B35" s="51" t="s">
        <v>435</v>
      </c>
      <c r="C35" s="126">
        <v>8458.4599999999991</v>
      </c>
      <c r="D35" s="53">
        <v>2</v>
      </c>
      <c r="E35" s="58">
        <f t="shared" si="0"/>
        <v>16916.919999999998</v>
      </c>
    </row>
    <row r="36" spans="1:5">
      <c r="A36" s="59" t="s">
        <v>450</v>
      </c>
      <c r="B36" s="51" t="s">
        <v>435</v>
      </c>
      <c r="C36" s="126">
        <v>3376.04</v>
      </c>
      <c r="D36" s="53">
        <v>1</v>
      </c>
      <c r="E36" s="58">
        <f t="shared" si="0"/>
        <v>3376.04</v>
      </c>
    </row>
    <row r="37" spans="1:5">
      <c r="A37" s="59" t="s">
        <v>451</v>
      </c>
      <c r="B37" s="51" t="s">
        <v>435</v>
      </c>
      <c r="C37" s="126">
        <v>4831.16</v>
      </c>
      <c r="D37" s="53">
        <v>1</v>
      </c>
      <c r="E37" s="58">
        <f t="shared" si="0"/>
        <v>4831.16</v>
      </c>
    </row>
    <row r="38" spans="1:5">
      <c r="A38" s="59" t="s">
        <v>452</v>
      </c>
      <c r="B38" s="51" t="s">
        <v>453</v>
      </c>
      <c r="C38" s="126">
        <v>0.88</v>
      </c>
      <c r="D38" s="52">
        <v>115747.2</v>
      </c>
      <c r="E38" s="58">
        <f t="shared" si="0"/>
        <v>101857.54</v>
      </c>
    </row>
    <row r="39" spans="1:5">
      <c r="A39" s="59" t="s">
        <v>454</v>
      </c>
      <c r="B39" s="51" t="s">
        <v>371</v>
      </c>
      <c r="C39" s="126">
        <v>144.12</v>
      </c>
      <c r="D39" s="53">
        <v>18</v>
      </c>
      <c r="E39" s="58">
        <f t="shared" si="0"/>
        <v>2594.16</v>
      </c>
    </row>
    <row r="40" spans="1:5">
      <c r="A40" s="59" t="s">
        <v>455</v>
      </c>
      <c r="B40" s="51" t="s">
        <v>371</v>
      </c>
      <c r="C40" s="126">
        <v>50.78</v>
      </c>
      <c r="D40" s="53">
        <v>22.5</v>
      </c>
      <c r="E40" s="58">
        <f t="shared" si="0"/>
        <v>1142.55</v>
      </c>
    </row>
    <row r="41" spans="1:5">
      <c r="A41" s="59" t="s">
        <v>456</v>
      </c>
      <c r="B41" s="51" t="s">
        <v>371</v>
      </c>
      <c r="C41" s="126">
        <v>2432.66</v>
      </c>
      <c r="D41" s="53">
        <v>4.5</v>
      </c>
      <c r="E41" s="58">
        <f t="shared" si="0"/>
        <v>10946.97</v>
      </c>
    </row>
    <row r="42" spans="1:5">
      <c r="A42" s="201" t="s">
        <v>457</v>
      </c>
      <c r="B42" s="202"/>
      <c r="C42" s="202"/>
      <c r="D42" s="202"/>
      <c r="E42" s="203"/>
    </row>
    <row r="43" spans="1:5">
      <c r="A43" s="59" t="s">
        <v>458</v>
      </c>
      <c r="B43" s="51" t="s">
        <v>435</v>
      </c>
      <c r="C43" s="126">
        <v>94922.58</v>
      </c>
      <c r="D43" s="53">
        <v>1</v>
      </c>
      <c r="E43" s="58">
        <f t="shared" si="0"/>
        <v>94922.58</v>
      </c>
    </row>
    <row r="44" spans="1:5">
      <c r="A44" s="59" t="s">
        <v>459</v>
      </c>
      <c r="B44" s="51" t="s">
        <v>435</v>
      </c>
      <c r="C44" s="126">
        <v>62442.559999999998</v>
      </c>
      <c r="D44" s="53">
        <v>1</v>
      </c>
      <c r="E44" s="58">
        <f t="shared" si="0"/>
        <v>62442.559999999998</v>
      </c>
    </row>
    <row r="45" spans="1:5">
      <c r="A45" s="59" t="s">
        <v>460</v>
      </c>
      <c r="B45" s="51" t="s">
        <v>416</v>
      </c>
      <c r="C45" s="126">
        <v>177.32</v>
      </c>
      <c r="D45" s="53">
        <v>0</v>
      </c>
      <c r="E45" s="58">
        <f t="shared" si="0"/>
        <v>0</v>
      </c>
    </row>
    <row r="46" spans="1:5">
      <c r="A46" s="201" t="s">
        <v>461</v>
      </c>
      <c r="B46" s="202"/>
      <c r="C46" s="202"/>
      <c r="D46" s="202"/>
      <c r="E46" s="203"/>
    </row>
    <row r="47" spans="1:5">
      <c r="A47" s="59" t="s">
        <v>462</v>
      </c>
      <c r="B47" s="51" t="s">
        <v>416</v>
      </c>
      <c r="C47" s="126">
        <v>346.19</v>
      </c>
      <c r="D47" s="53">
        <v>8</v>
      </c>
      <c r="E47" s="58">
        <f t="shared" ref="E47:E52" si="1">ROUND(C47*D47,2)</f>
        <v>2769.52</v>
      </c>
    </row>
    <row r="48" spans="1:5">
      <c r="A48" s="59" t="s">
        <v>463</v>
      </c>
      <c r="B48" s="51" t="s">
        <v>416</v>
      </c>
      <c r="C48" s="126">
        <v>346.19</v>
      </c>
      <c r="D48" s="53">
        <v>32</v>
      </c>
      <c r="E48" s="58">
        <f t="shared" si="1"/>
        <v>11078.08</v>
      </c>
    </row>
    <row r="49" spans="1:7">
      <c r="A49" s="59" t="s">
        <v>464</v>
      </c>
      <c r="B49" s="51" t="s">
        <v>435</v>
      </c>
      <c r="C49" s="126">
        <v>81.53</v>
      </c>
      <c r="D49" s="53">
        <v>200</v>
      </c>
      <c r="E49" s="58">
        <f t="shared" si="1"/>
        <v>16306</v>
      </c>
    </row>
    <row r="50" spans="1:7">
      <c r="A50" s="59" t="s">
        <v>465</v>
      </c>
      <c r="B50" s="51" t="s">
        <v>435</v>
      </c>
      <c r="C50" s="126">
        <v>96.8</v>
      </c>
      <c r="D50" s="53">
        <v>20</v>
      </c>
      <c r="E50" s="58">
        <f t="shared" si="1"/>
        <v>1936</v>
      </c>
    </row>
    <row r="51" spans="1:7">
      <c r="A51" s="59" t="s">
        <v>466</v>
      </c>
      <c r="B51" s="51" t="s">
        <v>467</v>
      </c>
      <c r="C51" s="126">
        <v>174.96</v>
      </c>
      <c r="D51" s="53">
        <v>792</v>
      </c>
      <c r="E51" s="58">
        <f t="shared" si="1"/>
        <v>138568.32000000001</v>
      </c>
    </row>
    <row r="52" spans="1:7">
      <c r="A52" s="59" t="s">
        <v>468</v>
      </c>
      <c r="B52" s="51" t="s">
        <v>371</v>
      </c>
      <c r="C52" s="126">
        <v>2326.9</v>
      </c>
      <c r="D52" s="53">
        <v>144</v>
      </c>
      <c r="E52" s="58">
        <f t="shared" si="1"/>
        <v>335073.59999999998</v>
      </c>
    </row>
    <row r="53" spans="1:7">
      <c r="A53" s="201" t="s">
        <v>469</v>
      </c>
      <c r="B53" s="202"/>
      <c r="C53" s="202"/>
      <c r="D53" s="202"/>
      <c r="E53" s="203"/>
    </row>
    <row r="54" spans="1:7">
      <c r="A54" s="59" t="s">
        <v>470</v>
      </c>
      <c r="B54" s="51" t="s">
        <v>435</v>
      </c>
      <c r="C54" s="126">
        <v>5404.19</v>
      </c>
      <c r="D54" s="53">
        <v>1</v>
      </c>
      <c r="E54" s="58">
        <f t="shared" ref="E54:E58" si="2">ROUND(C54*D54,2)</f>
        <v>5404.19</v>
      </c>
    </row>
    <row r="55" spans="1:7">
      <c r="A55" s="59" t="s">
        <v>471</v>
      </c>
      <c r="B55" s="51" t="s">
        <v>472</v>
      </c>
      <c r="C55" s="126">
        <v>0.35</v>
      </c>
      <c r="D55" s="52">
        <v>18000</v>
      </c>
      <c r="E55" s="58">
        <f t="shared" si="2"/>
        <v>6300</v>
      </c>
    </row>
    <row r="56" spans="1:7">
      <c r="A56" s="59" t="s">
        <v>473</v>
      </c>
      <c r="B56" s="51" t="s">
        <v>435</v>
      </c>
      <c r="C56" s="126">
        <v>6911.21</v>
      </c>
      <c r="D56" s="53">
        <v>1</v>
      </c>
      <c r="E56" s="58">
        <f t="shared" si="2"/>
        <v>6911.21</v>
      </c>
    </row>
    <row r="57" spans="1:7">
      <c r="A57" s="59" t="s">
        <v>474</v>
      </c>
      <c r="B57" s="51" t="s">
        <v>435</v>
      </c>
      <c r="C57" s="126">
        <v>16461.32</v>
      </c>
      <c r="D57" s="53">
        <v>0</v>
      </c>
      <c r="E57" s="58">
        <f t="shared" si="2"/>
        <v>0</v>
      </c>
    </row>
    <row r="58" spans="1:7">
      <c r="A58" s="59" t="s">
        <v>475</v>
      </c>
      <c r="B58" s="51" t="s">
        <v>435</v>
      </c>
      <c r="C58" s="126">
        <v>4230.41</v>
      </c>
      <c r="D58" s="53">
        <v>3</v>
      </c>
      <c r="E58" s="58">
        <f t="shared" si="2"/>
        <v>12691.23</v>
      </c>
    </row>
    <row r="59" spans="1:7">
      <c r="A59" s="188" t="s">
        <v>368</v>
      </c>
      <c r="B59" s="189"/>
      <c r="C59" s="190"/>
      <c r="D59" s="212">
        <f>SUM(E5:E7,E9:E41,E43:E45,E47:E52,E54:E58)</f>
        <v>1295773.94</v>
      </c>
      <c r="E59" s="213"/>
    </row>
    <row r="60" spans="1:7">
      <c r="A60" s="188" t="s">
        <v>505</v>
      </c>
      <c r="B60" s="189"/>
      <c r="C60" s="190"/>
      <c r="D60" s="212">
        <f>ROUND(D59*0.2355,2)</f>
        <v>305154.76</v>
      </c>
      <c r="E60" s="213"/>
    </row>
    <row r="61" spans="1:7" ht="13.5" thickBot="1">
      <c r="A61" s="204" t="s">
        <v>414</v>
      </c>
      <c r="B61" s="205"/>
      <c r="C61" s="206"/>
      <c r="D61" s="209">
        <f>ROUND(D59+D60,2)</f>
        <v>1600928.7</v>
      </c>
      <c r="E61" s="210"/>
      <c r="F61" s="47">
        <f>D61</f>
        <v>1600928.7</v>
      </c>
      <c r="G61" s="47">
        <f>D61</f>
        <v>1600928.7</v>
      </c>
    </row>
  </sheetData>
  <mergeCells count="16">
    <mergeCell ref="A61:C61"/>
    <mergeCell ref="D61:E61"/>
    <mergeCell ref="A1:E1"/>
    <mergeCell ref="A42:E42"/>
    <mergeCell ref="A46:E46"/>
    <mergeCell ref="A53:E53"/>
    <mergeCell ref="A59:C59"/>
    <mergeCell ref="D59:E59"/>
    <mergeCell ref="A60:C60"/>
    <mergeCell ref="D60:E60"/>
    <mergeCell ref="A2:A3"/>
    <mergeCell ref="B2:B3"/>
    <mergeCell ref="C2:C3"/>
    <mergeCell ref="D2:E2"/>
    <mergeCell ref="A4:E4"/>
    <mergeCell ref="A8:E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2932C-539F-4655-B4B1-43E61A8062D8}">
  <sheetPr>
    <pageSetUpPr fitToPage="1"/>
  </sheetPr>
  <dimension ref="A1:M25"/>
  <sheetViews>
    <sheetView workbookViewId="0">
      <selection activeCell="F12" sqref="F12"/>
    </sheetView>
  </sheetViews>
  <sheetFormatPr defaultRowHeight="12.75"/>
  <cols>
    <col min="1" max="1" width="22.5703125" customWidth="1"/>
    <col min="2" max="2" width="15.85546875" customWidth="1"/>
    <col min="3" max="3" width="10.140625" bestFit="1" customWidth="1"/>
    <col min="4" max="4" width="12.28515625" customWidth="1"/>
    <col min="5" max="5" width="11.7109375" customWidth="1"/>
    <col min="6" max="6" width="10.140625" customWidth="1"/>
    <col min="7" max="7" width="7.7109375" bestFit="1" customWidth="1"/>
    <col min="8" max="8" width="10.7109375" customWidth="1"/>
    <col min="9" max="9" width="2.28515625" customWidth="1"/>
    <col min="10" max="10" width="10.42578125" customWidth="1"/>
    <col min="12" max="12" width="13.85546875" bestFit="1" customWidth="1"/>
  </cols>
  <sheetData>
    <row r="1" spans="1:13" ht="81.75" customHeight="1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3">
      <c r="A2" s="225" t="s">
        <v>478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7"/>
      <c r="M2" s="61"/>
    </row>
    <row r="3" spans="1:13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1"/>
    </row>
    <row r="4" spans="1:13">
      <c r="A4" s="228"/>
      <c r="B4" s="230" t="s">
        <v>498</v>
      </c>
      <c r="C4" s="232" t="s">
        <v>499</v>
      </c>
      <c r="D4" s="230" t="s">
        <v>500</v>
      </c>
      <c r="E4" s="234" t="s">
        <v>501</v>
      </c>
      <c r="F4" s="234" t="s">
        <v>502</v>
      </c>
      <c r="G4" s="236" t="s">
        <v>479</v>
      </c>
      <c r="H4" s="237"/>
      <c r="I4" s="237"/>
      <c r="J4" s="237"/>
      <c r="K4" s="238"/>
      <c r="L4" s="234" t="s">
        <v>503</v>
      </c>
      <c r="M4" s="61"/>
    </row>
    <row r="5" spans="1:13" ht="14.25">
      <c r="A5" s="229"/>
      <c r="B5" s="231"/>
      <c r="C5" s="233"/>
      <c r="D5" s="231"/>
      <c r="E5" s="235"/>
      <c r="F5" s="235"/>
      <c r="G5" s="72" t="s">
        <v>494</v>
      </c>
      <c r="H5" s="239" t="s">
        <v>495</v>
      </c>
      <c r="I5" s="240"/>
      <c r="J5" s="73" t="s">
        <v>496</v>
      </c>
      <c r="K5" s="72" t="s">
        <v>497</v>
      </c>
      <c r="L5" s="235"/>
      <c r="M5" s="61"/>
    </row>
    <row r="6" spans="1:13" s="68" customFormat="1">
      <c r="A6" s="69" t="s">
        <v>480</v>
      </c>
      <c r="B6" s="70">
        <v>4.2999999999999997E-2</v>
      </c>
      <c r="C6" s="70">
        <v>7.0999999999999994E-2</v>
      </c>
      <c r="D6" s="70">
        <v>1.6E-2</v>
      </c>
      <c r="E6" s="70">
        <v>7.4000000000000003E-3</v>
      </c>
      <c r="F6" s="70">
        <v>9.4999999999999998E-3</v>
      </c>
      <c r="G6" s="74">
        <v>0.03</v>
      </c>
      <c r="H6" s="223">
        <v>6.4999999999999997E-3</v>
      </c>
      <c r="I6" s="224"/>
      <c r="J6" s="70">
        <v>0.03</v>
      </c>
      <c r="K6" s="70">
        <v>0</v>
      </c>
      <c r="L6" s="71">
        <v>0.23549999999999999</v>
      </c>
      <c r="M6" s="67"/>
    </row>
    <row r="7" spans="1:13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2"/>
    </row>
    <row r="8" spans="1:13">
      <c r="A8" s="225" t="s">
        <v>481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7"/>
      <c r="M8" s="61"/>
    </row>
    <row r="9" spans="1:13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1"/>
    </row>
    <row r="10" spans="1:13" s="65" customFormat="1" ht="20.25" customHeight="1">
      <c r="A10" s="228"/>
      <c r="B10" s="230" t="s">
        <v>498</v>
      </c>
      <c r="C10" s="232" t="s">
        <v>499</v>
      </c>
      <c r="D10" s="230" t="s">
        <v>500</v>
      </c>
      <c r="E10" s="234" t="s">
        <v>501</v>
      </c>
      <c r="F10" s="234" t="s">
        <v>502</v>
      </c>
      <c r="G10" s="236" t="s">
        <v>479</v>
      </c>
      <c r="H10" s="237"/>
      <c r="I10" s="237"/>
      <c r="J10" s="237"/>
      <c r="K10" s="238"/>
      <c r="L10" s="234" t="s">
        <v>503</v>
      </c>
      <c r="M10" s="64"/>
    </row>
    <row r="11" spans="1:13" s="68" customFormat="1" ht="14.25">
      <c r="A11" s="229"/>
      <c r="B11" s="231"/>
      <c r="C11" s="233"/>
      <c r="D11" s="231"/>
      <c r="E11" s="235"/>
      <c r="F11" s="235"/>
      <c r="G11" s="72" t="s">
        <v>494</v>
      </c>
      <c r="H11" s="239" t="s">
        <v>495</v>
      </c>
      <c r="I11" s="240"/>
      <c r="J11" s="72" t="s">
        <v>496</v>
      </c>
      <c r="K11" s="72" t="s">
        <v>497</v>
      </c>
      <c r="L11" s="235"/>
      <c r="M11" s="67"/>
    </row>
    <row r="12" spans="1:13" s="68" customFormat="1">
      <c r="A12" s="69" t="s">
        <v>480</v>
      </c>
      <c r="B12" s="70">
        <v>0.03</v>
      </c>
      <c r="C12" s="70">
        <v>4.2099999999999999E-2</v>
      </c>
      <c r="D12" s="70">
        <v>8.5000000000000006E-3</v>
      </c>
      <c r="E12" s="70">
        <v>4.7999999999999996E-3</v>
      </c>
      <c r="F12" s="70">
        <v>8.5000000000000006E-3</v>
      </c>
      <c r="G12" s="74">
        <v>0</v>
      </c>
      <c r="H12" s="223">
        <v>6.4999999999999997E-3</v>
      </c>
      <c r="I12" s="224"/>
      <c r="J12" s="70">
        <v>0.03</v>
      </c>
      <c r="K12" s="70">
        <v>0</v>
      </c>
      <c r="L12" s="71">
        <v>0.13800000000000001</v>
      </c>
      <c r="M12" s="67"/>
    </row>
    <row r="13" spans="1:13">
      <c r="A13" s="241" t="s">
        <v>482</v>
      </c>
      <c r="B13" s="241"/>
      <c r="C13" s="241"/>
      <c r="D13" s="241"/>
      <c r="E13" s="241"/>
      <c r="F13" s="241"/>
      <c r="G13" s="241"/>
      <c r="H13" s="241"/>
      <c r="I13" s="63"/>
      <c r="J13" s="63"/>
      <c r="K13" s="63"/>
      <c r="L13" s="63"/>
      <c r="M13" s="63"/>
    </row>
    <row r="14" spans="1:13">
      <c r="A14" s="222" t="s">
        <v>483</v>
      </c>
      <c r="B14" s="222"/>
      <c r="C14" s="222"/>
      <c r="D14" s="222"/>
      <c r="E14" s="222"/>
      <c r="F14" s="222"/>
      <c r="G14" s="222"/>
      <c r="H14" s="222"/>
      <c r="I14" s="61"/>
      <c r="J14" s="61"/>
      <c r="K14" s="61"/>
      <c r="L14" s="61"/>
      <c r="M14" s="61"/>
    </row>
    <row r="15" spans="1:13">
      <c r="A15" s="222" t="s">
        <v>484</v>
      </c>
      <c r="B15" s="222"/>
      <c r="C15" s="222"/>
      <c r="D15" s="222"/>
      <c r="E15" s="222"/>
      <c r="F15" s="222"/>
      <c r="G15" s="222"/>
      <c r="H15" s="222"/>
      <c r="I15" s="61"/>
      <c r="J15" s="61"/>
      <c r="K15" s="61"/>
      <c r="L15" s="61"/>
      <c r="M15" s="61"/>
    </row>
    <row r="16" spans="1:13" ht="22.5" customHeight="1">
      <c r="A16" s="222" t="s">
        <v>485</v>
      </c>
      <c r="B16" s="222"/>
      <c r="C16" s="222"/>
      <c r="D16" s="222"/>
      <c r="E16" s="222"/>
      <c r="F16" s="222"/>
      <c r="G16" s="222"/>
      <c r="H16" s="222"/>
      <c r="I16" s="62"/>
      <c r="J16" s="62"/>
      <c r="K16" s="62"/>
      <c r="L16" s="62"/>
      <c r="M16" s="62"/>
    </row>
    <row r="17" spans="1:13">
      <c r="A17" s="219" t="s">
        <v>486</v>
      </c>
      <c r="B17" s="219"/>
      <c r="C17" s="219"/>
      <c r="D17" s="219"/>
      <c r="E17" s="219"/>
      <c r="F17" s="219"/>
      <c r="G17" s="219"/>
      <c r="H17" s="219"/>
      <c r="I17" s="61"/>
      <c r="J17" s="61"/>
      <c r="K17" s="61"/>
      <c r="L17" s="61"/>
      <c r="M17" s="61"/>
    </row>
    <row r="18" spans="1:13">
      <c r="A18" s="219" t="s">
        <v>487</v>
      </c>
      <c r="B18" s="219"/>
      <c r="C18" s="219"/>
      <c r="D18" s="219"/>
      <c r="E18" s="219"/>
      <c r="F18" s="219"/>
      <c r="G18" s="219"/>
      <c r="H18" s="219"/>
      <c r="I18" s="61"/>
      <c r="J18" s="61"/>
      <c r="K18" s="61"/>
      <c r="L18" s="61"/>
      <c r="M18" s="61"/>
    </row>
    <row r="19" spans="1:13">
      <c r="A19" s="219" t="s">
        <v>488</v>
      </c>
      <c r="B19" s="219"/>
      <c r="C19" s="219"/>
      <c r="D19" s="219"/>
      <c r="E19" s="219"/>
      <c r="F19" s="219"/>
      <c r="G19" s="219"/>
      <c r="H19" s="219"/>
      <c r="I19" s="61"/>
      <c r="J19" s="61"/>
      <c r="K19" s="61"/>
      <c r="L19" s="61"/>
      <c r="M19" s="61"/>
    </row>
    <row r="20" spans="1:13">
      <c r="A20" s="219" t="s">
        <v>489</v>
      </c>
      <c r="B20" s="219"/>
      <c r="C20" s="219"/>
      <c r="D20" s="219"/>
      <c r="E20" s="219"/>
      <c r="F20" s="219"/>
      <c r="G20" s="219"/>
      <c r="H20" s="219"/>
      <c r="I20" s="61"/>
      <c r="J20" s="61"/>
      <c r="K20" s="61"/>
      <c r="L20" s="61"/>
      <c r="M20" s="61"/>
    </row>
    <row r="21" spans="1:13">
      <c r="A21" s="219" t="s">
        <v>490</v>
      </c>
      <c r="B21" s="219"/>
      <c r="C21" s="219"/>
      <c r="D21" s="219"/>
      <c r="E21" s="219"/>
      <c r="F21" s="219"/>
      <c r="G21" s="219"/>
      <c r="H21" s="219"/>
      <c r="I21" s="61"/>
      <c r="J21" s="61"/>
      <c r="K21" s="61"/>
      <c r="L21" s="61"/>
      <c r="M21" s="61"/>
    </row>
    <row r="22" spans="1:13">
      <c r="A22" s="219" t="s">
        <v>491</v>
      </c>
      <c r="B22" s="219"/>
      <c r="C22" s="219"/>
      <c r="D22" s="219"/>
      <c r="E22" s="219"/>
      <c r="F22" s="219"/>
      <c r="G22" s="219"/>
      <c r="H22" s="219"/>
      <c r="I22" s="61"/>
      <c r="J22" s="61"/>
      <c r="K22" s="61"/>
      <c r="L22" s="61"/>
      <c r="M22" s="61"/>
    </row>
    <row r="23" spans="1:13">
      <c r="A23" s="219" t="s">
        <v>492</v>
      </c>
      <c r="B23" s="219"/>
      <c r="C23" s="219"/>
      <c r="D23" s="219"/>
      <c r="E23" s="219"/>
      <c r="F23" s="219"/>
      <c r="G23" s="219"/>
      <c r="H23" s="219"/>
      <c r="I23" s="61"/>
      <c r="J23" s="61"/>
      <c r="K23" s="61"/>
      <c r="L23" s="61"/>
      <c r="M23" s="61"/>
    </row>
    <row r="24" spans="1:13" ht="19.5" customHeight="1">
      <c r="A24" s="219" t="s">
        <v>493</v>
      </c>
      <c r="B24" s="219"/>
      <c r="C24" s="219"/>
      <c r="D24" s="219"/>
      <c r="E24" s="219"/>
      <c r="F24" s="219"/>
      <c r="G24" s="219"/>
      <c r="H24" s="219"/>
      <c r="I24" s="63"/>
      <c r="J24" s="63"/>
      <c r="K24" s="63"/>
      <c r="L24" s="63"/>
      <c r="M24" s="63"/>
    </row>
    <row r="25" spans="1:13">
      <c r="A25" s="220"/>
      <c r="B25" s="220"/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</row>
  </sheetData>
  <mergeCells count="36">
    <mergeCell ref="H5:I5"/>
    <mergeCell ref="A19:H19"/>
    <mergeCell ref="A20:H20"/>
    <mergeCell ref="L10:L11"/>
    <mergeCell ref="H11:I11"/>
    <mergeCell ref="H12:I12"/>
    <mergeCell ref="A13:H13"/>
    <mergeCell ref="A14:H14"/>
    <mergeCell ref="A10:A11"/>
    <mergeCell ref="B10:B11"/>
    <mergeCell ref="C10:C11"/>
    <mergeCell ref="D10:D11"/>
    <mergeCell ref="E10:E11"/>
    <mergeCell ref="F10:F11"/>
    <mergeCell ref="G10:K10"/>
    <mergeCell ref="A1:L1"/>
    <mergeCell ref="A15:H15"/>
    <mergeCell ref="A16:H16"/>
    <mergeCell ref="A17:H17"/>
    <mergeCell ref="A18:H18"/>
    <mergeCell ref="H6:I6"/>
    <mergeCell ref="A8:L8"/>
    <mergeCell ref="A2:L2"/>
    <mergeCell ref="A4:A5"/>
    <mergeCell ref="B4:B5"/>
    <mergeCell ref="C4:C5"/>
    <mergeCell ref="D4:D5"/>
    <mergeCell ref="E4:E5"/>
    <mergeCell ref="F4:F5"/>
    <mergeCell ref="G4:K4"/>
    <mergeCell ref="L4:L5"/>
    <mergeCell ref="A21:H21"/>
    <mergeCell ref="A22:H22"/>
    <mergeCell ref="A23:H23"/>
    <mergeCell ref="A24:H24"/>
    <mergeCell ref="A25:M25"/>
  </mergeCells>
  <pageMargins left="0.511811024" right="0.511811024" top="0.78740157499999996" bottom="0.78740157499999996" header="0.31496062000000002" footer="0.31496062000000002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ORÇAMENTO</vt:lpstr>
      <vt:lpstr>CRONOGRAMA</vt:lpstr>
      <vt:lpstr>MOB - DESMOB</vt:lpstr>
      <vt:lpstr>ADM LOCAL</vt:lpstr>
      <vt:lpstr>CANTEIRO DE OBRA</vt:lpstr>
      <vt:lpstr>BDI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Tayná Vasconcelos Marques de Sá</dc:creator>
  <cp:lastModifiedBy>Pedro Salomão Rodrigues de Abreu</cp:lastModifiedBy>
  <cp:lastPrinted>2025-05-29T19:16:47Z</cp:lastPrinted>
  <dcterms:created xsi:type="dcterms:W3CDTF">2025-04-09T14:08:29Z</dcterms:created>
  <dcterms:modified xsi:type="dcterms:W3CDTF">2025-06-03T13:01:33Z</dcterms:modified>
</cp:coreProperties>
</file>